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10" windowWidth="11955" windowHeight="3240" tabRatio="878" activeTab="0"/>
  </bookViews>
  <sheets>
    <sheet name="Сравнение вариантов" sheetId="1" r:id="rId1"/>
  </sheets>
  <definedNames>
    <definedName name="__123Graph_A" localSheetId="0" hidden="1">'Сравнение вариантов'!#REF!</definedName>
    <definedName name="__123Graph_A’ҐЄгйЁҐЇ ббЁўл" localSheetId="0" hidden="1">'Сравнение вариантов'!#REF!</definedName>
    <definedName name="__123Graph_ADuPont" localSheetId="0" hidden="1">'Сравнение вариантов'!#REF!</definedName>
    <definedName name="__123Graph_AђҐ­в ЎҐ«м­®бвм" localSheetId="0" hidden="1">'Сравнение вариантов'!#REF!</definedName>
    <definedName name="__123Graph_AЋЎ®а з. Єв.1" localSheetId="0" hidden="1">'Сравнение вариантов'!#REF!</definedName>
    <definedName name="__123Graph_AЋЎ®а®в­л©Є ЇЁв" localSheetId="0" hidden="1">'Сравнение вариантов'!#REF!</definedName>
    <definedName name="__123Graph_B" localSheetId="0" hidden="1">'Сравнение вариантов'!#REF!</definedName>
    <definedName name="__123Graph_B’ҐЄгйЁҐЇ ббЁўл" localSheetId="0" hidden="1">'Сравнение вариантов'!#REF!</definedName>
    <definedName name="__123Graph_BDuPont" localSheetId="0" hidden="1">'Сравнение вариантов'!#REF!</definedName>
    <definedName name="__123Graph_BђҐ­в ЎҐ«м­®бвм" localSheetId="0" hidden="1">'Сравнение вариантов'!#REF!</definedName>
    <definedName name="__123Graph_BЋЎ®а з. Єв.1" localSheetId="0" hidden="1">'Сравнение вариантов'!#REF!</definedName>
    <definedName name="__123Graph_BЋЎ®а®в­л©Є ЇЁв" localSheetId="0" hidden="1">'Сравнение вариантов'!#REF!</definedName>
    <definedName name="__123Graph_C" localSheetId="0" hidden="1">'Сравнение вариантов'!#REF!</definedName>
    <definedName name="__123Graph_C’ҐЄгйЁҐЇ ббЁўл" localSheetId="0" hidden="1">'Сравнение вариантов'!#REF!</definedName>
    <definedName name="__123Graph_CDuPont" localSheetId="0" hidden="1">'Сравнение вариантов'!#REF!</definedName>
    <definedName name="__123Graph_CђҐ­в ЎҐ«м­®бвм" localSheetId="0" hidden="1">'Сравнение вариантов'!#REF!</definedName>
    <definedName name="__123Graph_CЋЎ®а з. Єв.1" localSheetId="0" hidden="1">'Сравнение вариантов'!#REF!</definedName>
    <definedName name="__123Graph_CЋЎ®а®в­л©Є ЇЁв" localSheetId="0" hidden="1">'Сравнение вариантов'!#REF!</definedName>
    <definedName name="__123Graph_D" localSheetId="0" hidden="1">'Сравнение вариантов'!#REF!</definedName>
    <definedName name="__123Graph_D’ҐЄгйЁҐЇ ббЁўл" localSheetId="0" hidden="1">'Сравнение вариантов'!#REF!</definedName>
    <definedName name="__123Graph_DђҐ­в ЎҐ«м­®бвм" localSheetId="0" hidden="1">'Сравнение вариантов'!#REF!</definedName>
    <definedName name="__123Graph_DЋЎ®а з. Єв.1" localSheetId="0" hidden="1">'Сравнение вариантов'!#REF!</definedName>
    <definedName name="__123Graph_DЋЎ®а®в­л©Є ЇЁв" localSheetId="0" hidden="1">'Сравнение вариантов'!#REF!</definedName>
    <definedName name="__123Graph_E" localSheetId="0" hidden="1">'Сравнение вариантов'!#REF!</definedName>
    <definedName name="__123Graph_E’ҐЄгйЁҐЇ ббЁўл" localSheetId="0" hidden="1">'Сравнение вариантов'!#REF!</definedName>
    <definedName name="__123Graph_EЋЎ®а з. Єв.1" localSheetId="0" hidden="1">'Сравнение вариантов'!#REF!</definedName>
    <definedName name="__123Graph_EЋЎ®а®в­л©Є ЇЁв" localSheetId="0" hidden="1">'Сравнение вариантов'!#REF!</definedName>
    <definedName name="__123Graph_F" localSheetId="0" hidden="1">'Сравнение вариантов'!#REF!</definedName>
    <definedName name="__123Graph_FЋЎ®а з. Єв.1" localSheetId="0" hidden="1">'Сравнение вариантов'!#REF!</definedName>
    <definedName name="__123Graph_X" localSheetId="0" hidden="1">'Сравнение вариантов'!#REF!</definedName>
    <definedName name="__123Graph_X’ҐЄгйЁҐЇ ббЁўл" localSheetId="0" hidden="1">'Сравнение вариантов'!#REF!</definedName>
    <definedName name="__123Graph_XDuPont" localSheetId="0" hidden="1">'Сравнение вариантов'!#REF!</definedName>
    <definedName name="__123Graph_XђҐ­в ЎҐ«м­®бвм" localSheetId="0" hidden="1">'Сравнение вариантов'!#REF!</definedName>
    <definedName name="__123Graph_XЋЎ®а з. Єв.1" localSheetId="0" hidden="1">'Сравнение вариантов'!#REF!</definedName>
    <definedName name="__123Graph_XЋЎ®а®в­л©Є ЇЁв" localSheetId="0" hidden="1">'Сравнение вариантов'!#REF!</definedName>
    <definedName name="etalon">'Сравнение вариантов'!$P:$P</definedName>
    <definedName name="last_column">'Сравнение вариантов'!$H:$H</definedName>
    <definedName name="Last_int">'Сравнение вариантов'!$F$11</definedName>
    <definedName name="life">'Сравнение вариантов'!$B$10</definedName>
    <definedName name="life_cur">'Сравнение вариантов'!$B$11</definedName>
    <definedName name="Дата_начала_анализа">'Сравнение вариантов'!$C$37</definedName>
    <definedName name="Дата_окончания_анализа">'Сравнение вариантов'!$H$37</definedName>
    <definedName name="Количество_интервалов_анализа">'Сравнение вариантов'!$B$11</definedName>
    <definedName name="Последняя_дата">'Сравнение вариантов'!$H$10</definedName>
  </definedNames>
  <calcPr fullCalcOnLoad="1"/>
</workbook>
</file>

<file path=xl/comments1.xml><?xml version="1.0" encoding="utf-8"?>
<comments xmlns="http://schemas.openxmlformats.org/spreadsheetml/2006/main">
  <authors>
    <author>ANNA</author>
  </authors>
  <commentList>
    <comment ref="C10" authorId="0">
      <text>
        <r>
          <rPr>
            <sz val="10"/>
            <rFont val="Tahoma"/>
            <family val="2"/>
          </rPr>
          <t xml:space="preserve"> 
ЕСЛИ после нажатия на кнопки  "Увеличение (Уменьшение) количества периодов анализа" или "Настроить программу на заданное количество периодов" НАСТРОЙКА НЕ ВЫПОЛНЯЕТСЯ, то, вероятнее всего, на на Вашем компьютере установлена высокая степень защиты макросов, которая заблокировала работу макросов этой программы. 
Выйти из ситуации легко - необходимо в главном меню MS Excel выбрать меню </t>
        </r>
        <r>
          <rPr>
            <b/>
            <sz val="10"/>
            <rFont val="Tahoma"/>
            <family val="2"/>
          </rPr>
          <t xml:space="preserve">"Сервис", </t>
        </r>
        <r>
          <rPr>
            <sz val="10"/>
            <rFont val="Tahoma"/>
            <family val="2"/>
          </rPr>
          <t xml:space="preserve">в нем - </t>
        </r>
        <r>
          <rPr>
            <b/>
            <sz val="10"/>
            <rFont val="Tahoma"/>
            <family val="2"/>
          </rPr>
          <t>"Параметры"</t>
        </r>
        <r>
          <rPr>
            <sz val="10"/>
            <rFont val="Tahoma"/>
            <family val="2"/>
          </rPr>
          <t xml:space="preserve"> и в появившемся окне  - закладку </t>
        </r>
        <r>
          <rPr>
            <b/>
            <sz val="10"/>
            <rFont val="Tahoma"/>
            <family val="2"/>
          </rPr>
          <t xml:space="preserve">"Безопасность". </t>
        </r>
        <r>
          <rPr>
            <sz val="10"/>
            <rFont val="Tahoma"/>
            <family val="2"/>
          </rPr>
          <t xml:space="preserve">Внизу диалогового окна "Безопасность" расположена кнопка </t>
        </r>
        <r>
          <rPr>
            <b/>
            <sz val="10"/>
            <rFont val="Tahoma"/>
            <family val="2"/>
          </rPr>
          <t>"Безопасность макросов"</t>
        </r>
        <r>
          <rPr>
            <sz val="10"/>
            <rFont val="Tahoma"/>
            <family val="2"/>
          </rPr>
          <t>, нажав на которую, Вы сможете вызвать очередное окно</t>
        </r>
        <r>
          <rPr>
            <b/>
            <sz val="10"/>
            <rFont val="Tahoma"/>
            <family val="2"/>
          </rPr>
          <t xml:space="preserve"> "Уровень безопасности"</t>
        </r>
        <r>
          <rPr>
            <sz val="10"/>
            <rFont val="Tahoma"/>
            <family val="2"/>
          </rPr>
          <t xml:space="preserve">. В данном окне необходимо щелчком мыши установить </t>
        </r>
        <r>
          <rPr>
            <b/>
            <sz val="10"/>
            <rFont val="Tahoma"/>
            <family val="2"/>
          </rPr>
          <t>"Средняя"</t>
        </r>
        <r>
          <rPr>
            <sz val="10"/>
            <rFont val="Tahoma"/>
            <family val="2"/>
          </rPr>
          <t xml:space="preserve">, </t>
        </r>
        <r>
          <rPr>
            <u val="single"/>
            <sz val="10"/>
            <rFont val="Tahoma"/>
            <family val="2"/>
          </rPr>
          <t>нажать ОК и обязательно перезагрузить Excel</t>
        </r>
        <r>
          <rPr>
            <sz val="10"/>
            <rFont val="Tahoma"/>
            <family val="2"/>
          </rPr>
          <t>. После повторного открытия Excel и этого файла настройки (макросы) должны работать.</t>
        </r>
      </text>
    </comment>
    <comment ref="C18" authorId="0">
      <text>
        <r>
          <rPr>
            <sz val="10"/>
            <rFont val="Tahoma"/>
            <family val="2"/>
          </rPr>
          <t>Наименование расчетной валюты можно изменить. Она будет автоматически отражена в расчетных таблицах</t>
        </r>
      </text>
    </comment>
    <comment ref="B15" authorId="0">
      <text>
        <r>
          <rPr>
            <sz val="10"/>
            <rFont val="Arial"/>
            <family val="2"/>
          </rPr>
          <t xml:space="preserve">
Возможно выбрать продолжительность периода планирования
360 дней
180 дней
90 дней
30 дней
</t>
        </r>
      </text>
    </comment>
    <comment ref="C39" authorId="0">
      <text>
        <r>
          <rPr>
            <sz val="10"/>
            <rFont val="Tahoma"/>
            <family val="2"/>
          </rPr>
          <t xml:space="preserve">
В данной строке необходимо описать график выплат за приобретаемые внеоборотные активы - распределение платежей по периодам.
Платежи не обязательно должны быть только в первом периоде. Более того, в первом периоде платежей может не быть (поставить 0) - все зависит от планируемой или оговоренной схемы оплаты активов.</t>
        </r>
      </text>
    </comment>
    <comment ref="C48" authorId="0">
      <text>
        <r>
          <rPr>
            <sz val="10"/>
            <rFont val="Tahoma"/>
            <family val="2"/>
          </rPr>
          <t xml:space="preserve">
В данной строке необходимо отразить планируемый график погашения основного долга по кредиту
(без учета процентов; проценты по кредиту описываются в отдельной строке).</t>
        </r>
      </text>
    </comment>
    <comment ref="C49" authorId="0">
      <text>
        <r>
          <rPr>
            <sz val="8"/>
            <rFont val="Tahoma"/>
            <family val="0"/>
          </rPr>
          <t xml:space="preserve">
</t>
        </r>
        <r>
          <rPr>
            <sz val="10"/>
            <rFont val="Tahoma"/>
            <family val="2"/>
          </rPr>
          <t>Если планируемый график выплаты процентов отличается от того графика, который первоначально  рассчитан в модели, внесите исправления - внесите более точный график  выплаты процентов поверх существующих значений.</t>
        </r>
      </text>
    </comment>
    <comment ref="A51" authorId="0">
      <text>
        <r>
          <rPr>
            <sz val="10"/>
            <rFont val="Tahoma"/>
            <family val="2"/>
          </rPr>
          <t xml:space="preserve">
В соответствии с законодательством,
налог на прибыль будет уменьшен на величину 
амортизационных отчислений, которые входят в состав производственных затрат,
процентов по кредитам,
налога на имущество
</t>
        </r>
      </text>
    </comment>
    <comment ref="C53" authorId="0">
      <text>
        <r>
          <rPr>
            <sz val="8"/>
            <rFont val="Tahoma"/>
            <family val="0"/>
          </rPr>
          <t xml:space="preserve">
Н</t>
        </r>
        <r>
          <rPr>
            <sz val="10"/>
            <rFont val="Tahoma"/>
            <family val="2"/>
          </rPr>
          <t>еобходимо вести вручную суммы возмещения НДС по постоянным активам - те суммы, на которые будут уменьшены платежи по НДС по текущей деятельности.</t>
        </r>
      </text>
    </comment>
    <comment ref="C79" authorId="0">
      <text>
        <r>
          <rPr>
            <sz val="10"/>
            <rFont val="Tahoma"/>
            <family val="2"/>
          </rPr>
          <t xml:space="preserve">
В данной строке необходимо отразить планируемый график погашения основного долга по кредиту
(без учета процентов; проценты по кредиту описываются в отдельной строке).</t>
        </r>
      </text>
    </comment>
    <comment ref="C80" authorId="0">
      <text>
        <r>
          <rPr>
            <sz val="8"/>
            <rFont val="Tahoma"/>
            <family val="0"/>
          </rPr>
          <t xml:space="preserve">
</t>
        </r>
        <r>
          <rPr>
            <sz val="10"/>
            <rFont val="Tahoma"/>
            <family val="2"/>
          </rPr>
          <t>Если планируемый график выплаты процентов отличается от того графика, который первоначально  рассчитан в модели, внесите более точный график  выплаты процентов поверх существующих значений.</t>
        </r>
      </text>
    </comment>
    <comment ref="C81" authorId="0">
      <text>
        <r>
          <rPr>
            <sz val="8"/>
            <rFont val="Tahoma"/>
            <family val="0"/>
          </rPr>
          <t xml:space="preserve">
</t>
        </r>
        <r>
          <rPr>
            <sz val="10"/>
            <rFont val="Tahoma"/>
            <family val="2"/>
          </rPr>
          <t>Если планируемый график выплаты процентов отличается от того графика, который первоначально был рассчитан в модели, внесите исправления - внесите более точный график  выплаты процентов поверх существующих значений.</t>
        </r>
      </text>
    </comment>
    <comment ref="A82" authorId="0">
      <text>
        <r>
          <rPr>
            <sz val="10"/>
            <rFont val="Tahoma"/>
            <family val="2"/>
          </rPr>
          <t xml:space="preserve">
В соответствии с законодательством,
налог на прибыль будет уменьшен на величину 
лизинговых платежей, которые входят в состав производственных затрат,
процентов по кредитам,
налога на имущество
</t>
        </r>
      </text>
    </comment>
    <comment ref="A83" authorId="0">
      <text>
        <r>
          <rPr>
            <sz val="10"/>
            <rFont val="Tahoma"/>
            <family val="2"/>
          </rPr>
          <t xml:space="preserve">
В соответствии с законодательством,
налог на прибыль будет уменьшен на величину 
НДС к лизинговым платежам, 
процентов по кредитам,
налога на имущество
</t>
        </r>
      </text>
    </comment>
    <comment ref="C84" authorId="0">
      <text>
        <r>
          <rPr>
            <sz val="8"/>
            <rFont val="Tahoma"/>
            <family val="0"/>
          </rPr>
          <t xml:space="preserve">
Н</t>
        </r>
        <r>
          <rPr>
            <sz val="10"/>
            <rFont val="Tahoma"/>
            <family val="2"/>
          </rPr>
          <t>еобходимо ввести вручную суммы возмещения НДС по постоянным активам (к суммам, уплаченным при выкупе активов по окончании срока действия лизингового договора) - т.е. те суммы, на которые будут уменьшены платежи по НДС по текущей деятельности.</t>
        </r>
      </text>
    </comment>
    <comment ref="C78" authorId="0">
      <text>
        <r>
          <rPr>
            <sz val="8"/>
            <rFont val="Tahoma"/>
            <family val="0"/>
          </rPr>
          <t xml:space="preserve">
</t>
        </r>
        <r>
          <rPr>
            <sz val="10"/>
            <rFont val="Tahoma"/>
            <family val="2"/>
          </rPr>
          <t>Если график реальных платежей по лизинговой сделке отличается от графика начисления лизинговых платежей (что нередко встречается), отразите реальный график уплаты лизинговых платежей (с НДС!) вручную - внося значения в данной строке поверх существующих цифр.</t>
        </r>
      </text>
    </comment>
    <comment ref="C71" authorId="0">
      <text>
        <r>
          <rPr>
            <sz val="10"/>
            <rFont val="Tahoma"/>
            <family val="2"/>
          </rPr>
          <t xml:space="preserve">
Необходимо указать, какая часть стоимости активов в момент выкупа будет оплачена  за счет собственных средств. Оставшаяся часть суммы, следовательно, будет оплачиваться за счет привлекаемого кредита.
</t>
        </r>
        <r>
          <rPr>
            <sz val="8"/>
            <rFont val="Tahoma"/>
            <family val="0"/>
          </rPr>
          <t xml:space="preserve">
</t>
        </r>
        <r>
          <rPr>
            <sz val="10"/>
            <rFont val="Tahoma"/>
            <family val="2"/>
          </rPr>
          <t>Если выкупаемые активы планируется полностью оплатить за счет собственных средств, без привлечения кредита, необходимо поставить в этой строке ту же сумму, что стоит в строке "Выкуп активов по окончании договора лизинга"</t>
        </r>
      </text>
    </comment>
    <comment ref="C45" authorId="0">
      <text>
        <r>
          <rPr>
            <sz val="8"/>
            <rFont val="Tahoma"/>
            <family val="0"/>
          </rPr>
          <t xml:space="preserve">
</t>
        </r>
        <r>
          <rPr>
            <sz val="10"/>
            <rFont val="Tahoma"/>
            <family val="2"/>
          </rPr>
          <t xml:space="preserve">Амортизационные отчисления начисляются на стоимость активов без НДС
</t>
        </r>
      </text>
    </comment>
    <comment ref="C75" authorId="0">
      <text>
        <r>
          <rPr>
            <b/>
            <sz val="8"/>
            <rFont val="Tahoma"/>
            <family val="0"/>
          </rPr>
          <t xml:space="preserve">
</t>
        </r>
        <r>
          <rPr>
            <sz val="10"/>
            <rFont val="Tahoma"/>
            <family val="2"/>
          </rPr>
          <t>В состав затрат входит лизинговый платеж без учета НДС</t>
        </r>
        <r>
          <rPr>
            <sz val="8"/>
            <rFont val="Tahoma"/>
            <family val="0"/>
          </rPr>
          <t xml:space="preserve">
</t>
        </r>
        <r>
          <rPr>
            <sz val="10"/>
            <rFont val="Tahoma"/>
            <family val="2"/>
          </rPr>
          <t>Если суммы начисляемых (не уплачиваемых) лизинговых платежей отличаются от тех, что рассчитаны автоматически, внесите более точные значения вручную.</t>
        </r>
      </text>
    </comment>
    <comment ref="C76" authorId="0">
      <text>
        <r>
          <rPr>
            <sz val="10"/>
            <rFont val="Tahoma"/>
            <family val="2"/>
          </rPr>
          <t xml:space="preserve">
Если за срок действия договора лизинга внеоборотные активы  не будут самортизированы полностью, ПОСЛЕ момента выкупа активов необходимо вручную внести величину амортизационных отчислений, который будут включаться в стоимость продукции.</t>
        </r>
      </text>
    </comment>
    <comment ref="B10" authorId="0">
      <text>
        <r>
          <rPr>
            <sz val="8"/>
            <rFont val="Tahoma"/>
            <family val="0"/>
          </rPr>
          <t xml:space="preserve">
</t>
        </r>
        <r>
          <rPr>
            <sz val="10"/>
            <rFont val="Tahoma"/>
            <family val="2"/>
          </rPr>
          <t xml:space="preserve">Необходимо, чтобы количество рассматриваемых периодов было не меньше четырех.
Добавлять и убавлять периоды - свыше четырех - можно одним из способов:
1. щелчком мыши по значкам </t>
        </r>
        <r>
          <rPr>
            <sz val="10"/>
            <rFont val="Arial"/>
            <family val="2"/>
          </rPr>
          <t>▲▼</t>
        </r>
        <r>
          <rPr>
            <sz val="8"/>
            <rFont val="Tahoma"/>
            <family val="2"/>
          </rPr>
          <t xml:space="preserve"> </t>
        </r>
        <r>
          <rPr>
            <sz val="10"/>
            <rFont val="Tahoma"/>
            <family val="2"/>
          </rPr>
          <t xml:space="preserve">(столбцы появятся автоматически)
 либо 
2. внести в данную ячейку количество необходимых периодов планирования и нажать кнопку "Настроить программу"
</t>
        </r>
      </text>
    </comment>
    <comment ref="C42" authorId="0">
      <text>
        <r>
          <rPr>
            <sz val="10"/>
            <rFont val="Tahoma"/>
            <family val="2"/>
          </rPr>
          <t xml:space="preserve">
Необходимо указать, какая часть стоимости приобретаемых активов будет оплачена  за счет собственных средств. Оставшаяся часть суммы, следовательно, будет оплачиваться за счет привлекаемого кредита.
</t>
        </r>
        <r>
          <rPr>
            <sz val="8"/>
            <rFont val="Tahoma"/>
            <family val="0"/>
          </rPr>
          <t xml:space="preserve">
</t>
        </r>
        <r>
          <rPr>
            <sz val="10"/>
            <rFont val="Tahoma"/>
            <family val="2"/>
          </rPr>
          <t>Если приобретаемые активы планируется полностью оплатить за счет собственных средств, без привлечения кредита, необходимо поставить в этой строке ту же сумму, что стоит в строке "Затраты на приобретение актива с НДС".
Если приобретаемые активы планируется полностью профинансировать за счет привлечения кредита, необходимо поставить в этой строке нулевые значения.</t>
        </r>
      </text>
    </comment>
    <comment ref="A52" authorId="0">
      <text>
        <r>
          <rPr>
            <sz val="8"/>
            <rFont val="Tahoma"/>
            <family val="0"/>
          </rPr>
          <t xml:space="preserve">
</t>
        </r>
        <r>
          <rPr>
            <sz val="10"/>
            <rFont val="Tahoma"/>
            <family val="2"/>
          </rPr>
          <t>В данной схеме отсутствует, так как на амортизационные отчисления НДС не начисляется</t>
        </r>
        <r>
          <rPr>
            <sz val="8"/>
            <rFont val="Tahoma"/>
            <family val="0"/>
          </rPr>
          <t xml:space="preserve">
</t>
        </r>
      </text>
    </comment>
    <comment ref="B95" authorId="0">
      <text>
        <r>
          <rPr>
            <sz val="10"/>
            <rFont val="Tahoma"/>
            <family val="2"/>
          </rPr>
          <t xml:space="preserve">
Преимущество имеет вариант, требующий меньшего оттока собственных средств
</t>
        </r>
      </text>
    </comment>
    <comment ref="B98" authorId="0">
      <text>
        <r>
          <rPr>
            <sz val="10"/>
            <rFont val="Tahoma"/>
            <family val="2"/>
          </rPr>
          <t xml:space="preserve">
Преимущество имеет вариант, создающий большее сокращение налога на прибыль
</t>
        </r>
      </text>
    </comment>
    <comment ref="B99" authorId="0">
      <text>
        <r>
          <rPr>
            <sz val="10"/>
            <rFont val="Tahoma"/>
            <family val="2"/>
          </rPr>
          <t xml:space="preserve">
Преимущество имеет вариант, создающий большее сокращение НДС к уплате в бюджет
</t>
        </r>
      </text>
    </comment>
    <comment ref="B102" authorId="0">
      <text>
        <r>
          <rPr>
            <sz val="10"/>
            <rFont val="Tahoma"/>
            <family val="2"/>
          </rPr>
          <t xml:space="preserve">
Преимущество имеет вариант, требующий меньшего оттока  средств
</t>
        </r>
      </text>
    </comment>
    <comment ref="B96" authorId="0">
      <text>
        <r>
          <rPr>
            <sz val="10"/>
            <rFont val="Tahoma"/>
            <family val="2"/>
          </rPr>
          <t xml:space="preserve">
Преимущество имеет вариант, требующий меньшей платы за привлеченные кредиты</t>
        </r>
      </text>
    </comment>
    <comment ref="C41" authorId="0">
      <text>
        <r>
          <rPr>
            <sz val="10"/>
            <rFont val="Tahoma"/>
            <family val="2"/>
          </rPr>
          <t xml:space="preserve">
Необходимо указать, какая часть стоимости приобретаемых активов будет оплачена  за счет кредитов. Оставшаяся часть суммы, следовательно, будет оплачиваться за счет собственных средств.
</t>
        </r>
        <r>
          <rPr>
            <sz val="8"/>
            <rFont val="Tahoma"/>
            <family val="0"/>
          </rPr>
          <t xml:space="preserve">
</t>
        </r>
        <r>
          <rPr>
            <sz val="10"/>
            <rFont val="Tahoma"/>
            <family val="2"/>
          </rPr>
          <t>Если приобретаемые активы планируется полностью оплатить за счет собственных средств, без привлечения кредита, необходимо поставить в этой строке ноль".
Если приобретаемые активы планируется полностью профинансировать за счет привлечения кредита, необходимо поставить в этой строке значения, равные значениям строки "Затраты на приобретение актива с НДС"</t>
        </r>
      </text>
    </comment>
  </commentList>
</comments>
</file>

<file path=xl/sharedStrings.xml><?xml version="1.0" encoding="utf-8"?>
<sst xmlns="http://schemas.openxmlformats.org/spreadsheetml/2006/main" count="101" uniqueCount="79">
  <si>
    <r>
      <t xml:space="preserve">♣ </t>
    </r>
    <r>
      <rPr>
        <i/>
        <sz val="10"/>
        <color indexed="12"/>
        <rFont val="Arial"/>
        <family val="2"/>
      </rPr>
      <t>Anna A. Vassina, С</t>
    </r>
    <r>
      <rPr>
        <i/>
        <sz val="10"/>
        <color indexed="12"/>
        <rFont val="Arial Cyr"/>
        <family val="0"/>
      </rPr>
      <t xml:space="preserve">анкт-Петербург, 2004 год. </t>
    </r>
  </si>
  <si>
    <t>ВЫБОР СХЕМЫ ПРИОБРЕТЕНИЯ ВНЕОБОРОТНЫХ АКТИВОВ: ПОКУПКА ИЛИ ЛИЗИНГ</t>
  </si>
  <si>
    <t>Продолжительность периода планирования</t>
  </si>
  <si>
    <t>ОСНОВНЫЕ ПАРАМЕТРЫ СДЕЛКИ</t>
  </si>
  <si>
    <t>Продолжительность периода планирования,  дни</t>
  </si>
  <si>
    <t>дней</t>
  </si>
  <si>
    <t>Приобретение внеоборотных активов</t>
  </si>
  <si>
    <t>тыс. руб.</t>
  </si>
  <si>
    <t>Ставка НДС</t>
  </si>
  <si>
    <t>Годовая норма амортизационных отчислений по приобретаемым активам</t>
  </si>
  <si>
    <t>НДС в составе стоимости активов</t>
  </si>
  <si>
    <t>Лизинг внеоборотных активов</t>
  </si>
  <si>
    <t>Годовая ставка процентов по кредитам, привлекаемым на приобретение активов</t>
  </si>
  <si>
    <t>Годовая ставка процентов по кредитам, привлекаемым на финансирование лизинговой сделки</t>
  </si>
  <si>
    <t xml:space="preserve">Вариант 1. </t>
  </si>
  <si>
    <t>ПРИОБРЕТЕНИЕ АКТИВОВ</t>
  </si>
  <si>
    <t>ИТОГО</t>
  </si>
  <si>
    <t>Потоки для сравнения вариантов</t>
  </si>
  <si>
    <t>Ставка налога на имущество</t>
  </si>
  <si>
    <t xml:space="preserve">1. Собственные средства на приобретение активов </t>
  </si>
  <si>
    <t>2. Погашение основного долга по кредиту</t>
  </si>
  <si>
    <t>Срок действия лизингового договора</t>
  </si>
  <si>
    <t>4. Налог на имущество</t>
  </si>
  <si>
    <t>5. Сокращение налога на прибыль</t>
  </si>
  <si>
    <t>6.2. Возмещение НДС по приобретенным внеоборотным активам</t>
  </si>
  <si>
    <t>6.1. Сокращение НДС к уплате в бюджет 
(принимаемый в расчет НДС уплаченный, то есть НДС к затратам)</t>
  </si>
  <si>
    <t>ИТОГО ПОТОК ПО СДЕЛКЕ (5+6.1+6.2-1-2-3-4)</t>
  </si>
  <si>
    <t>Ставка сравнения</t>
  </si>
  <si>
    <t>Коэффициенты дисконтирования</t>
  </si>
  <si>
    <t>ДИСКОНТИРОВАННЫЙ ПОТОК ПО СДЕЛКЕ</t>
  </si>
  <si>
    <t xml:space="preserve">Вариант 2. </t>
  </si>
  <si>
    <t>ЛИЗИНГ</t>
  </si>
  <si>
    <t>Выкуп активов по окончании договора лизинга</t>
  </si>
  <si>
    <t>Ежегодная сумма лизингового платежа без НДС</t>
  </si>
  <si>
    <t>НДС в сумме лизингового платежа</t>
  </si>
  <si>
    <t>Стоимость активов в момент выкупа с НДС</t>
  </si>
  <si>
    <t>Собственные средства, направляемые на приобретение активов в момент выкупа</t>
  </si>
  <si>
    <t>6.1. Сокращение НДС к уплате в бюджет 
(принимаемый в расчет НДС уплаченный, то есть НДС к лизинговым платежам)</t>
  </si>
  <si>
    <t xml:space="preserve"> </t>
  </si>
  <si>
    <t>Амортизационные отчисления по окончании договора лизинга (включаются в затраты на производство продукции)</t>
  </si>
  <si>
    <t>6.2. Возмещение НДС, уплаченного в момент выкупа активов</t>
  </si>
  <si>
    <t>4. Налог на имущество
(не начисляется в период действия договора лизинга в случае учета имущества на балансе лизингодателя)</t>
  </si>
  <si>
    <t>Покупка</t>
  </si>
  <si>
    <t>Лизинг</t>
  </si>
  <si>
    <t>"+" Покупки</t>
  </si>
  <si>
    <t>"+" Лизинга</t>
  </si>
  <si>
    <t>Сравнение вариантов</t>
  </si>
  <si>
    <t>Сокращение налога на прибыль</t>
  </si>
  <si>
    <t>Сокращение НДС к уплате в бюджет</t>
  </si>
  <si>
    <t>Дисконтированный поток по сделке</t>
  </si>
  <si>
    <t>Привлечение кредита на выкуп активов</t>
  </si>
  <si>
    <t>СРАВНЕНИЕ ВАРИАНТОВ</t>
  </si>
  <si>
    <t>("стоимость" сделки)</t>
  </si>
  <si>
    <t>ИТОГО отток денежных средств по сделке</t>
  </si>
  <si>
    <t>3. Выплата процентов по кредиту</t>
  </si>
  <si>
    <t>Преимущество имеет вариант, требующий меньший отток средств</t>
  </si>
  <si>
    <t>ЗАДАЙТЕ КОЛИЧЕСТВО ПЕРИОДОВ ПЛАНИРОВАНИЯ</t>
  </si>
  <si>
    <t>Стоимость приобретаемых активов с НДС</t>
  </si>
  <si>
    <t>Ежегодная сумма начисляемого лизингового платежа с НДС</t>
  </si>
  <si>
    <r>
      <t>Синим цветом отмечены исходные данные.</t>
    </r>
    <r>
      <rPr>
        <i/>
        <sz val="10"/>
        <color indexed="12"/>
        <rFont val="Arial Cyr"/>
        <family val="0"/>
      </rPr>
      <t xml:space="preserve"> К данным ячейкам можно прочитать комментарии, подведя курсор к ячейке </t>
    </r>
  </si>
  <si>
    <t>Стоимость приобретаемых активов без НДС
(балансовая стоимость активов)</t>
  </si>
  <si>
    <t>Затраты, относимые на стоимость продукции</t>
  </si>
  <si>
    <t>Итого стоимость</t>
  </si>
  <si>
    <t>приобретения актива</t>
  </si>
  <si>
    <t>Итого общая сумма</t>
  </si>
  <si>
    <t>Выплата лизинговых платежей с НДС</t>
  </si>
  <si>
    <t>Оплата актива с НДС</t>
  </si>
  <si>
    <t>Оплата актива в момент выкупа</t>
  </si>
  <si>
    <t>Затраты на приобретение актива с НДС</t>
  </si>
  <si>
    <t>из них</t>
  </si>
  <si>
    <t>профинансировано за счет кредита</t>
  </si>
  <si>
    <t>Лизинговые платежи начисленные без НДС</t>
  </si>
  <si>
    <t xml:space="preserve">Амортизационные отчисления </t>
  </si>
  <si>
    <t>1. Собственные средства на выплату лизинговых платежей</t>
  </si>
  <si>
    <t>профинансировано за счет собственных средств</t>
  </si>
  <si>
    <t>лизинговых платежей</t>
  </si>
  <si>
    <t>Суммы на приобретение актива</t>
  </si>
  <si>
    <t>Суммы выплачиваемых процентов по кредиту</t>
  </si>
  <si>
    <t>Налог на имущество</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</si>
</sst>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General_)"/>
    <numFmt numFmtId="167" formatCode="0.0%"/>
    <numFmt numFmtId="168" formatCode="0.000_)"/>
    <numFmt numFmtId="169" formatCode="0.00_)"/>
    <numFmt numFmtId="170" formatCode="0.0_)"/>
    <numFmt numFmtId="171" formatCode="0.0"/>
    <numFmt numFmtId="172" formatCode="0;[Red]\-0"/>
    <numFmt numFmtId="173" formatCode="0;[Color9]\-0"/>
    <numFmt numFmtId="174" formatCode="0.0%;[Color9]\-0.0%"/>
    <numFmt numFmtId="175" formatCode="0.00%;[Color9]\-0.00%"/>
    <numFmt numFmtId="176" formatCode="0.000;[Color9]\-0.000"/>
    <numFmt numFmtId="177" formatCode="0.0;[Color9]\-0.0"/>
    <numFmt numFmtId="178" formatCode="0.###"/>
    <numFmt numFmtId="179" formatCode="0.###;[Color9]\-0.###"/>
    <numFmt numFmtId="180" formatCode="0%;[Color9]\-0%"/>
    <numFmt numFmtId="181" formatCode="0.00;[Color9]\-0.00"/>
    <numFmt numFmtId="182" formatCode="#,##0.0"/>
    <numFmt numFmtId="183" formatCode="&quot;$&quot;#,##0_);\(&quot;$&quot;#,##0\)"/>
    <numFmt numFmtId="184" formatCode="&quot;$&quot;#,##0.00_);\(&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quot; р.&quot;;\-#,##0&quot; р.&quot;"/>
    <numFmt numFmtId="190" formatCode="#,##0&quot; р.&quot;;[Red]\-#,##0&quot; р.&quot;"/>
    <numFmt numFmtId="191" formatCode="#,##0.00&quot; р.&quot;;\-#,##0.00&quot; р.&quot;"/>
    <numFmt numFmtId="192" formatCode="#,##0.00&quot; р.&quot;;[Red]\-#,##0.00&quot; р.&quot;"/>
    <numFmt numFmtId="193" formatCode="0.000"/>
    <numFmt numFmtId="194" formatCode="[Blue]0;[Red]\-0"/>
    <numFmt numFmtId="195" formatCode="[Red][&gt;2]0.0;[Blue]0.0"/>
    <numFmt numFmtId="196" formatCode="0%;[Red]\-0%"/>
    <numFmt numFmtId="197" formatCode="[&gt;=2]0.0;[Red]0.0"/>
    <numFmt numFmtId="198" formatCode="[&gt;=0.1]0.0;[Red]0.0"/>
    <numFmt numFmtId="199" formatCode="#,##0\ &quot;р.&quot;;\-#,##0\ &quot;р.&quot;"/>
    <numFmt numFmtId="200" formatCode="#,##0\ &quot;р.&quot;;[Red]\-#,##0\ &quot;р.&quot;"/>
    <numFmt numFmtId="201" formatCode="#,##0.00\ &quot;р.&quot;;\-#,##0.00\ &quot;р.&quot;"/>
    <numFmt numFmtId="202" formatCode="#,##0.00\ &quot;р.&quot;;[Red]\-#,##0.00\ &quot;р.&quot;"/>
    <numFmt numFmtId="203" formatCode="0_)"/>
    <numFmt numFmtId="204" formatCode="_-* #,##0\ &quot;р.&quot;_-;\-* #,##0\ &quot;р.&quot;_-;_-* &quot;-&quot;\ &quot;р.&quot;_-;_-@_-"/>
    <numFmt numFmtId="205" formatCode="_-* #,##0\ _р_._-;\-* #,##0\ _р_._-;_-* &quot;-&quot;\ _р_._-;_-@_-"/>
    <numFmt numFmtId="206" formatCode="_-* #,##0.00\ &quot;р.&quot;_-;\-* #,##0.00\ &quot;р.&quot;_-;_-* &quot;-&quot;??\ &quot;р.&quot;_-;_-@_-"/>
    <numFmt numFmtId="207" formatCode="_-* #,##0.00\ _р_._-;\-* #,##0.00\ _р_._-;_-* &quot;-&quot;??\ _р_._-;_-@_-"/>
    <numFmt numFmtId="208" formatCode="0.0;[Red]\-0.0"/>
    <numFmt numFmtId="209" formatCode="0.00;[Red]\-0.00"/>
    <numFmt numFmtId="210" formatCode="0.000;[Red]\-0.000"/>
    <numFmt numFmtId="211" formatCode="0.0000;[Red]\-0.0000"/>
    <numFmt numFmtId="212" formatCode="0.0000"/>
    <numFmt numFmtId="213" formatCode="0.00000"/>
    <numFmt numFmtId="214" formatCode="[Red][&gt;0]0;0;[Red]0"/>
    <numFmt numFmtId="215" formatCode="[Red][&gt;0]0;[=0]0;[Red]0"/>
    <numFmt numFmtId="216" formatCode="0;[Blue]\-0"/>
    <numFmt numFmtId="217" formatCode="_-&quot;$&quot;* #,##0_-;\-&quot;$&quot;* #,##0_-;_-&quot;$&quot;* &quot;-&quot;_-;_-@_-"/>
    <numFmt numFmtId="218" formatCode="_-* #,##0_-;\-* #,##0_-;_-* &quot;-&quot;_-;_-@_-"/>
    <numFmt numFmtId="219" formatCode="_-&quot;$&quot;* #,##0.00_-;\-&quot;$&quot;* #,##0.00_-;_-&quot;$&quot;* &quot;-&quot;??_-;_-@_-"/>
    <numFmt numFmtId="220" formatCode="_-* #,##0.00_-;\-* #,##0.00_-;_-* &quot;-&quot;??_-;_-@_-"/>
    <numFmt numFmtId="221" formatCode="\x"/>
    <numFmt numFmtId="222" formatCode="#,###,##0"/>
    <numFmt numFmtId="223" formatCode="&quot;Да&quot;;&quot;Да&quot;;&quot;Нет&quot;"/>
    <numFmt numFmtId="224" formatCode="&quot;Истина&quot;;&quot;Истина&quot;;&quot;Ложь&quot;"/>
    <numFmt numFmtId="225" formatCode="&quot;Вкл&quot;;&quot;Вкл&quot;;&quot;Выкл&quot;"/>
    <numFmt numFmtId="226" formatCode="[$€-2]\ ###,000_);[Red]\([$€-2]\ ###,000\)"/>
    <numFmt numFmtId="227" formatCode="[$-FC19]d\ mmmm\ yyyy\ &quot;г.&quot;"/>
  </numFmts>
  <fonts count="35">
    <font>
      <sz val="9"/>
      <name val="PragmaticaTT"/>
      <family val="0"/>
    </font>
    <font>
      <b/>
      <sz val="10"/>
      <name val="Arial Cyr"/>
      <family val="0"/>
    </font>
    <font>
      <i/>
      <sz val="10"/>
      <name val="Arial Cyr"/>
      <family val="0"/>
    </font>
    <font>
      <b/>
      <i/>
      <sz val="10"/>
      <name val="Arial Cyr"/>
      <family val="0"/>
    </font>
    <font>
      <sz val="10"/>
      <name val="MS Sans Serif"/>
      <family val="0"/>
    </font>
    <font>
      <sz val="10"/>
      <name val="Arial Cyr"/>
      <family val="0"/>
    </font>
    <font>
      <sz val="10"/>
      <color indexed="8"/>
      <name val="Arial Cyr"/>
      <family val="2"/>
    </font>
    <font>
      <b/>
      <sz val="10"/>
      <color indexed="17"/>
      <name val="Arial Cyr"/>
      <family val="2"/>
    </font>
    <font>
      <b/>
      <sz val="10"/>
      <color indexed="8"/>
      <name val="Arial Cyr"/>
      <family val="2"/>
    </font>
    <font>
      <sz val="10"/>
      <color indexed="20"/>
      <name val="Arial Cyr"/>
      <family val="2"/>
    </font>
    <font>
      <sz val="10"/>
      <color indexed="56"/>
      <name val="Arial Cyr"/>
      <family val="0"/>
    </font>
    <font>
      <u val="single"/>
      <sz val="8.1"/>
      <color indexed="12"/>
      <name val="PragmaticaTT"/>
      <family val="0"/>
    </font>
    <font>
      <u val="single"/>
      <sz val="8.1"/>
      <color indexed="36"/>
      <name val="PragmaticaTT"/>
      <family val="0"/>
    </font>
    <font>
      <b/>
      <i/>
      <sz val="10"/>
      <color indexed="12"/>
      <name val="Arial Cyr"/>
      <family val="0"/>
    </font>
    <font>
      <sz val="10"/>
      <color indexed="10"/>
      <name val="Arial Cyr"/>
      <family val="0"/>
    </font>
    <font>
      <i/>
      <sz val="10"/>
      <color indexed="10"/>
      <name val="Arial Cyr"/>
      <family val="0"/>
    </font>
    <font>
      <b/>
      <i/>
      <sz val="14"/>
      <color indexed="56"/>
      <name val="Arial Cyr"/>
      <family val="0"/>
    </font>
    <font>
      <sz val="16"/>
      <color indexed="12"/>
      <name val="Arial"/>
      <family val="2"/>
    </font>
    <font>
      <i/>
      <sz val="10"/>
      <color indexed="12"/>
      <name val="Arial"/>
      <family val="2"/>
    </font>
    <font>
      <i/>
      <sz val="10"/>
      <color indexed="12"/>
      <name val="Arial Cyr"/>
      <family val="0"/>
    </font>
    <font>
      <sz val="10"/>
      <name val="Arial"/>
      <family val="2"/>
    </font>
    <font>
      <sz val="8"/>
      <name val="Tahoma"/>
      <family val="0"/>
    </font>
    <font>
      <sz val="10"/>
      <name val="Tahoma"/>
      <family val="2"/>
    </font>
    <font>
      <sz val="10"/>
      <color indexed="9"/>
      <name val="Arial Cyr"/>
      <family val="2"/>
    </font>
    <font>
      <b/>
      <sz val="10"/>
      <name val="Arial"/>
      <family val="2"/>
    </font>
    <font>
      <b/>
      <sz val="10"/>
      <name val="Tahoma"/>
      <family val="2"/>
    </font>
    <font>
      <u val="single"/>
      <sz val="10"/>
      <name val="Tahoma"/>
      <family val="2"/>
    </font>
    <font>
      <b/>
      <sz val="12"/>
      <color indexed="12"/>
      <name val="Arial Cyr"/>
      <family val="0"/>
    </font>
    <font>
      <sz val="10"/>
      <color indexed="56"/>
      <name val="Arial"/>
      <family val="2"/>
    </font>
    <font>
      <b/>
      <u val="single"/>
      <sz val="10"/>
      <name val="Arial Cyr"/>
      <family val="0"/>
    </font>
    <font>
      <sz val="10"/>
      <color indexed="12"/>
      <name val="Arial Cyr"/>
      <family val="0"/>
    </font>
    <font>
      <i/>
      <sz val="10"/>
      <name val="Arial"/>
      <family val="2"/>
    </font>
    <font>
      <b/>
      <i/>
      <sz val="10"/>
      <name val="Arial"/>
      <family val="2"/>
    </font>
    <font>
      <b/>
      <sz val="8"/>
      <name val="Tahoma"/>
      <family val="0"/>
    </font>
    <font>
      <b/>
      <sz val="8"/>
      <name val="PragmaticaTT"/>
      <family val="2"/>
    </font>
  </fonts>
  <fills count="7">
    <fill>
      <patternFill/>
    </fill>
    <fill>
      <patternFill patternType="gray125"/>
    </fill>
    <fill>
      <patternFill patternType="lightGray">
        <fgColor indexed="22"/>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lightTrellis">
        <bgColor indexed="31"/>
      </patternFill>
    </fill>
  </fills>
  <borders count="22">
    <border>
      <left/>
      <right/>
      <top/>
      <bottom/>
      <diagonal/>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medium">
        <color indexed="18"/>
      </bottom>
    </border>
    <border>
      <left>
        <color indexed="63"/>
      </left>
      <right>
        <color indexed="63"/>
      </right>
      <top style="thin"/>
      <bottom>
        <color indexed="63"/>
      </bottom>
    </border>
    <border>
      <left>
        <color indexed="63"/>
      </left>
      <right>
        <color indexed="63"/>
      </right>
      <top style="double">
        <color indexed="18"/>
      </top>
      <bottom>
        <color indexed="63"/>
      </bottom>
    </border>
    <border>
      <left>
        <color indexed="63"/>
      </left>
      <right>
        <color indexed="63"/>
      </right>
      <top>
        <color indexed="63"/>
      </top>
      <bottom style="double">
        <color indexed="1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color indexed="18"/>
      </top>
      <bottom style="thin">
        <color indexed="18"/>
      </bottom>
    </border>
    <border>
      <left>
        <color indexed="63"/>
      </left>
      <right>
        <color indexed="63"/>
      </right>
      <top style="thin">
        <color indexed="18"/>
      </top>
      <bottom style="double">
        <color indexed="18"/>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medium"/>
      <right style="medium"/>
      <top style="medium"/>
      <bottom style="double"/>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s>
  <cellStyleXfs count="30">
    <xf numFmtId="166"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lignment/>
      <protection/>
    </xf>
    <xf numFmtId="0" fontId="4" fillId="0" borderId="1">
      <alignment/>
      <protection/>
    </xf>
    <xf numFmtId="0" fontId="4" fillId="0" borderId="0">
      <alignment/>
      <protection/>
    </xf>
    <xf numFmtId="0" fontId="11"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alignment/>
      <protection/>
    </xf>
    <xf numFmtId="0" fontId="4" fillId="0" borderId="0">
      <alignment/>
      <protection/>
    </xf>
    <xf numFmtId="0" fontId="5" fillId="0" borderId="0">
      <alignment/>
      <protection/>
    </xf>
    <xf numFmtId="0" fontId="12" fillId="0" borderId="0" applyNumberFormat="0" applyFill="0" applyBorder="0" applyAlignment="0" applyProtection="0"/>
    <xf numFmtId="9" fontId="5"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cellStyleXfs>
  <cellXfs count="143">
    <xf numFmtId="166" fontId="0" fillId="0" borderId="0" xfId="0" applyAlignment="1">
      <alignment horizontal="left"/>
    </xf>
    <xf numFmtId="166" fontId="5" fillId="0" borderId="0" xfId="0" applyFont="1" applyAlignment="1" applyProtection="1">
      <alignment horizontal="left"/>
      <protection/>
    </xf>
    <xf numFmtId="166" fontId="8" fillId="0" borderId="0" xfId="0" applyNumberFormat="1" applyFont="1" applyAlignment="1" applyProtection="1">
      <alignment horizontal="left"/>
      <protection/>
    </xf>
    <xf numFmtId="166" fontId="6" fillId="0" borderId="0" xfId="0" applyFont="1" applyAlignment="1" applyProtection="1">
      <alignment horizontal="left"/>
      <protection/>
    </xf>
    <xf numFmtId="166" fontId="5" fillId="0" borderId="0" xfId="0" applyFont="1" applyFill="1" applyAlignment="1" applyProtection="1">
      <alignment horizontal="left"/>
      <protection/>
    </xf>
    <xf numFmtId="166" fontId="6" fillId="0" borderId="0" xfId="0" applyNumberFormat="1" applyFont="1" applyAlignment="1" applyProtection="1">
      <alignment/>
      <protection/>
    </xf>
    <xf numFmtId="0" fontId="6" fillId="0" borderId="0" xfId="0" applyFont="1" applyAlignment="1" applyProtection="1">
      <alignment/>
      <protection/>
    </xf>
    <xf numFmtId="0" fontId="5" fillId="0" borderId="0" xfId="21" applyFont="1" applyProtection="1">
      <alignment/>
      <protection/>
    </xf>
    <xf numFmtId="0" fontId="9" fillId="0" borderId="0" xfId="21" applyFont="1" applyProtection="1">
      <alignment/>
      <protection/>
    </xf>
    <xf numFmtId="0" fontId="17" fillId="3" borderId="2"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2" fillId="3" borderId="3" xfId="0" applyNumberFormat="1" applyFont="1" applyFill="1" applyBorder="1" applyAlignment="1" applyProtection="1">
      <alignment/>
      <protection/>
    </xf>
    <xf numFmtId="1" fontId="5" fillId="3" borderId="3" xfId="0" applyNumberFormat="1" applyFont="1" applyFill="1" applyBorder="1" applyAlignment="1" applyProtection="1">
      <alignment/>
      <protection/>
    </xf>
    <xf numFmtId="1" fontId="5" fillId="0" borderId="0" xfId="23" applyNumberFormat="1" applyFont="1" applyFill="1" applyBorder="1" applyAlignment="1" applyProtection="1">
      <alignment horizontal="left" vertical="center"/>
      <protection/>
    </xf>
    <xf numFmtId="1" fontId="7" fillId="0" borderId="0" xfId="23" applyNumberFormat="1" applyFont="1" applyFill="1" applyBorder="1" applyAlignment="1" applyProtection="1">
      <alignment horizontal="center" vertical="center"/>
      <protection/>
    </xf>
    <xf numFmtId="166" fontId="8" fillId="4" borderId="4" xfId="0" applyNumberFormat="1" applyFont="1" applyFill="1" applyBorder="1" applyAlignment="1" applyProtection="1">
      <alignment horizontal="center" vertical="center"/>
      <protection/>
    </xf>
    <xf numFmtId="166" fontId="8" fillId="4" borderId="2" xfId="0" applyNumberFormat="1" applyFont="1" applyFill="1" applyBorder="1" applyAlignment="1" applyProtection="1">
      <alignment horizontal="center" vertical="center"/>
      <protection/>
    </xf>
    <xf numFmtId="3" fontId="5" fillId="0" borderId="0" xfId="21" applyNumberFormat="1" applyFont="1" applyProtection="1">
      <alignment/>
      <protection/>
    </xf>
    <xf numFmtId="166" fontId="5" fillId="5" borderId="0" xfId="0" applyFont="1" applyFill="1" applyAlignment="1" applyProtection="1">
      <alignment horizontal="left"/>
      <protection/>
    </xf>
    <xf numFmtId="166" fontId="0" fillId="5" borderId="5" xfId="0" applyFill="1" applyBorder="1" applyAlignment="1">
      <alignment/>
    </xf>
    <xf numFmtId="166" fontId="0" fillId="5" borderId="0" xfId="0" applyFill="1" applyAlignment="1">
      <alignment/>
    </xf>
    <xf numFmtId="166" fontId="16" fillId="5" borderId="0" xfId="0" applyFont="1" applyFill="1" applyBorder="1" applyAlignment="1" applyProtection="1">
      <alignment horizontal="center" vertical="center"/>
      <protection/>
    </xf>
    <xf numFmtId="166" fontId="0" fillId="5" borderId="6" xfId="0" applyFill="1" applyBorder="1" applyAlignment="1">
      <alignment/>
    </xf>
    <xf numFmtId="166" fontId="8" fillId="4" borderId="7" xfId="21" applyNumberFormat="1" applyFont="1" applyFill="1" applyBorder="1" applyAlignment="1" applyProtection="1">
      <alignment vertical="center"/>
      <protection/>
    </xf>
    <xf numFmtId="166" fontId="5" fillId="0" borderId="0" xfId="0" applyFont="1" applyAlignment="1" applyProtection="1">
      <alignment horizontal="left"/>
      <protection/>
    </xf>
    <xf numFmtId="166" fontId="6" fillId="0" borderId="0" xfId="0" applyFont="1" applyAlignment="1" applyProtection="1">
      <alignment horizontal="left"/>
      <protection/>
    </xf>
    <xf numFmtId="1" fontId="23" fillId="0" borderId="0" xfId="23" applyNumberFormat="1" applyFont="1" applyAlignment="1" applyProtection="1">
      <alignment horizontal="center"/>
      <protection/>
    </xf>
    <xf numFmtId="166" fontId="8" fillId="4" borderId="8" xfId="21" applyNumberFormat="1" applyFont="1" applyFill="1" applyBorder="1" applyAlignment="1" applyProtection="1">
      <alignment vertical="center"/>
      <protection/>
    </xf>
    <xf numFmtId="1" fontId="27" fillId="4" borderId="8" xfId="23" applyNumberFormat="1" applyFont="1" applyFill="1" applyBorder="1" applyAlignment="1" applyProtection="1">
      <alignment horizontal="center" vertical="center"/>
      <protection/>
    </xf>
    <xf numFmtId="166" fontId="5" fillId="4" borderId="9" xfId="0" applyFont="1" applyFill="1" applyBorder="1" applyAlignment="1" applyProtection="1">
      <alignment horizontal="left"/>
      <protection/>
    </xf>
    <xf numFmtId="1" fontId="5" fillId="0" borderId="0" xfId="23" applyNumberFormat="1" applyFont="1" applyFill="1" applyBorder="1" applyAlignment="1" applyProtection="1">
      <alignment horizontal="left" vertical="center" wrapText="1"/>
      <protection/>
    </xf>
    <xf numFmtId="1" fontId="5" fillId="0" borderId="0" xfId="23" applyNumberFormat="1" applyFont="1" applyFill="1" applyBorder="1" applyAlignment="1" applyProtection="1">
      <alignment horizontal="center"/>
      <protection/>
    </xf>
    <xf numFmtId="1" fontId="5" fillId="0" borderId="0" xfId="0" applyNumberFormat="1" applyFont="1" applyFill="1" applyAlignment="1" applyProtection="1">
      <alignment horizontal="left"/>
      <protection/>
    </xf>
    <xf numFmtId="3" fontId="9" fillId="0" borderId="0" xfId="21" applyNumberFormat="1" applyFont="1" applyProtection="1">
      <alignment/>
      <protection/>
    </xf>
    <xf numFmtId="0" fontId="20" fillId="0" borderId="0" xfId="21" applyFont="1" applyProtection="1">
      <alignment/>
      <protection/>
    </xf>
    <xf numFmtId="0" fontId="20" fillId="0" borderId="0" xfId="21" applyFont="1" applyAlignment="1" applyProtection="1">
      <alignment/>
      <protection/>
    </xf>
    <xf numFmtId="3" fontId="28" fillId="0" borderId="0" xfId="21" applyNumberFormat="1" applyFont="1" applyAlignment="1" applyProtection="1">
      <alignment horizontal="right"/>
      <protection locked="0"/>
    </xf>
    <xf numFmtId="0" fontId="13" fillId="6" borderId="10" xfId="0" applyNumberFormat="1" applyFont="1" applyFill="1" applyBorder="1" applyAlignment="1" applyProtection="1">
      <alignment/>
      <protection/>
    </xf>
    <xf numFmtId="1" fontId="3" fillId="6" borderId="10" xfId="0" applyNumberFormat="1" applyFont="1" applyFill="1" applyBorder="1" applyAlignment="1" applyProtection="1">
      <alignment/>
      <protection/>
    </xf>
    <xf numFmtId="1" fontId="13" fillId="6" borderId="10" xfId="0" applyNumberFormat="1" applyFont="1" applyFill="1" applyBorder="1" applyAlignment="1" applyProtection="1">
      <alignment/>
      <protection/>
    </xf>
    <xf numFmtId="0" fontId="14" fillId="6" borderId="6" xfId="0" applyNumberFormat="1" applyFont="1" applyFill="1" applyBorder="1" applyAlignment="1" applyProtection="1">
      <alignment/>
      <protection/>
    </xf>
    <xf numFmtId="1" fontId="15" fillId="6" borderId="11" xfId="0" applyNumberFormat="1" applyFont="1" applyFill="1" applyBorder="1" applyAlignment="1" applyProtection="1">
      <alignment/>
      <protection/>
    </xf>
    <xf numFmtId="1" fontId="5" fillId="6" borderId="11" xfId="0" applyNumberFormat="1" applyFont="1" applyFill="1" applyBorder="1" applyAlignment="1" applyProtection="1">
      <alignment/>
      <protection/>
    </xf>
    <xf numFmtId="1" fontId="1" fillId="0" borderId="0" xfId="23"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left"/>
      <protection/>
    </xf>
    <xf numFmtId="166" fontId="5" fillId="0" borderId="0" xfId="0" applyFont="1" applyFill="1" applyBorder="1" applyAlignment="1" applyProtection="1">
      <alignment horizontal="left"/>
      <protection/>
    </xf>
    <xf numFmtId="166" fontId="5" fillId="0" borderId="0" xfId="0" applyFont="1" applyFill="1" applyBorder="1" applyAlignment="1" applyProtection="1">
      <alignment horizontal="left"/>
      <protection/>
    </xf>
    <xf numFmtId="166" fontId="8" fillId="4" borderId="8" xfId="0" applyNumberFormat="1" applyFont="1" applyFill="1" applyBorder="1" applyAlignment="1" applyProtection="1">
      <alignment horizontal="center" vertical="center"/>
      <protection/>
    </xf>
    <xf numFmtId="0" fontId="5" fillId="0" borderId="0" xfId="22" applyFont="1" applyFill="1" applyBorder="1" applyAlignment="1" applyProtection="1">
      <alignment horizontal="left"/>
      <protection/>
    </xf>
    <xf numFmtId="0" fontId="5" fillId="0" borderId="0" xfId="22" applyFont="1" applyFill="1" applyBorder="1" applyAlignment="1" applyProtection="1">
      <alignment horizontal="center"/>
      <protection/>
    </xf>
    <xf numFmtId="0" fontId="29" fillId="0" borderId="0" xfId="22" applyFont="1" applyFill="1" applyBorder="1" applyAlignment="1" applyProtection="1">
      <alignment horizontal="left" vertical="center"/>
      <protection/>
    </xf>
    <xf numFmtId="0" fontId="5" fillId="0" borderId="0" xfId="22" applyFont="1" applyFill="1" applyBorder="1" applyAlignment="1" applyProtection="1">
      <alignment horizontal="center" vertical="center"/>
      <protection/>
    </xf>
    <xf numFmtId="0" fontId="5" fillId="0" borderId="0" xfId="22" applyFont="1" applyFill="1" applyBorder="1" applyAlignment="1" applyProtection="1">
      <alignment horizontal="left" vertical="top"/>
      <protection/>
    </xf>
    <xf numFmtId="0" fontId="5" fillId="0" borderId="0" xfId="22" applyFont="1" applyFill="1" applyBorder="1" applyAlignment="1" applyProtection="1">
      <alignment horizontal="left" vertical="center"/>
      <protection/>
    </xf>
    <xf numFmtId="3" fontId="30" fillId="0" borderId="0" xfId="22" applyNumberFormat="1" applyFont="1" applyFill="1" applyBorder="1" applyAlignment="1" applyProtection="1">
      <alignment horizontal="center" vertical="center"/>
      <protection/>
    </xf>
    <xf numFmtId="0" fontId="30" fillId="0" borderId="0" xfId="22" applyFont="1" applyFill="1" applyBorder="1" applyAlignment="1" applyProtection="1">
      <alignment horizontal="left" vertical="top"/>
      <protection/>
    </xf>
    <xf numFmtId="9" fontId="30" fillId="0" borderId="0" xfId="25" applyFont="1" applyFill="1" applyBorder="1" applyAlignment="1" applyProtection="1">
      <alignment horizontal="center" vertical="center"/>
      <protection/>
    </xf>
    <xf numFmtId="0" fontId="5" fillId="0" borderId="0" xfId="22" applyFont="1" applyFill="1" applyBorder="1" applyAlignment="1" applyProtection="1">
      <alignment horizontal="left" vertical="center" wrapText="1"/>
      <protection/>
    </xf>
    <xf numFmtId="3" fontId="5" fillId="0" borderId="0" xfId="22" applyNumberFormat="1" applyFont="1" applyFill="1" applyBorder="1" applyAlignment="1" applyProtection="1">
      <alignment horizontal="center" vertical="center"/>
      <protection/>
    </xf>
    <xf numFmtId="0" fontId="5" fillId="0" borderId="12" xfId="22" applyFont="1" applyFill="1" applyBorder="1" applyAlignment="1" applyProtection="1">
      <alignment horizontal="left" vertical="center" wrapText="1"/>
      <protection/>
    </xf>
    <xf numFmtId="3" fontId="30" fillId="0" borderId="12" xfId="22" applyNumberFormat="1" applyFont="1" applyFill="1" applyBorder="1" applyAlignment="1" applyProtection="1">
      <alignment horizontal="center" vertical="center"/>
      <protection/>
    </xf>
    <xf numFmtId="0" fontId="5" fillId="0" borderId="12" xfId="22" applyFont="1" applyFill="1" applyBorder="1" applyAlignment="1" applyProtection="1">
      <alignment horizontal="left" vertical="center"/>
      <protection/>
    </xf>
    <xf numFmtId="166" fontId="8" fillId="4" borderId="13" xfId="21" applyNumberFormat="1" applyFont="1" applyFill="1" applyBorder="1" applyAlignment="1" applyProtection="1">
      <alignment vertical="center"/>
      <protection/>
    </xf>
    <xf numFmtId="14" fontId="28" fillId="4" borderId="14" xfId="21" applyNumberFormat="1" applyFont="1" applyFill="1" applyBorder="1" applyAlignment="1" applyProtection="1">
      <alignment horizontal="center"/>
      <protection locked="0"/>
    </xf>
    <xf numFmtId="1" fontId="20" fillId="4" borderId="15" xfId="21" applyNumberFormat="1" applyFont="1" applyFill="1" applyBorder="1" applyAlignment="1" applyProtection="1">
      <alignment horizontal="center"/>
      <protection locked="0"/>
    </xf>
    <xf numFmtId="1" fontId="31" fillId="4" borderId="15" xfId="21" applyNumberFormat="1" applyFont="1" applyFill="1" applyBorder="1" applyAlignment="1" applyProtection="1">
      <alignment horizontal="center"/>
      <protection locked="0"/>
    </xf>
    <xf numFmtId="166" fontId="8" fillId="4" borderId="4" xfId="21" applyNumberFormat="1" applyFont="1" applyFill="1" applyBorder="1" applyAlignment="1" applyProtection="1">
      <alignment horizontal="center" vertical="center"/>
      <protection/>
    </xf>
    <xf numFmtId="3" fontId="20" fillId="0" borderId="0" xfId="21" applyNumberFormat="1" applyFont="1" applyAlignment="1" applyProtection="1">
      <alignment horizontal="right"/>
      <protection locked="0"/>
    </xf>
    <xf numFmtId="3" fontId="20" fillId="0" borderId="0" xfId="21" applyNumberFormat="1" applyFont="1" applyAlignment="1" applyProtection="1">
      <alignment horizontal="right"/>
      <protection/>
    </xf>
    <xf numFmtId="3" fontId="20" fillId="0" borderId="0" xfId="21" applyNumberFormat="1" applyFont="1" applyFill="1" applyBorder="1" applyAlignment="1" applyProtection="1">
      <alignment horizontal="right"/>
      <protection/>
    </xf>
    <xf numFmtId="166" fontId="1" fillId="0" borderId="0" xfId="0" applyFont="1" applyAlignment="1" applyProtection="1">
      <alignment horizontal="center"/>
      <protection/>
    </xf>
    <xf numFmtId="166" fontId="1" fillId="0" borderId="0" xfId="0" applyFont="1" applyFill="1" applyAlignment="1" applyProtection="1">
      <alignment horizontal="center"/>
      <protection/>
    </xf>
    <xf numFmtId="166" fontId="1" fillId="0" borderId="0" xfId="0" applyFont="1" applyFill="1" applyBorder="1" applyAlignment="1" applyProtection="1">
      <alignment horizontal="center"/>
      <protection/>
    </xf>
    <xf numFmtId="0" fontId="1" fillId="0" borderId="0" xfId="21" applyFont="1" applyAlignment="1" applyProtection="1">
      <alignment horizontal="center"/>
      <protection/>
    </xf>
    <xf numFmtId="3" fontId="1" fillId="0" borderId="0" xfId="21" applyNumberFormat="1" applyFont="1" applyAlignment="1" applyProtection="1">
      <alignment horizontal="center"/>
      <protection/>
    </xf>
    <xf numFmtId="0" fontId="10" fillId="0" borderId="0" xfId="22" applyFont="1" applyFill="1" applyBorder="1" applyAlignment="1" applyProtection="1">
      <alignment horizontal="center"/>
      <protection/>
    </xf>
    <xf numFmtId="3" fontId="20" fillId="0" borderId="2" xfId="21" applyNumberFormat="1" applyFont="1" applyBorder="1" applyAlignment="1" applyProtection="1">
      <alignment horizontal="right"/>
      <protection locked="0"/>
    </xf>
    <xf numFmtId="3" fontId="5" fillId="0" borderId="2" xfId="21" applyNumberFormat="1" applyFont="1" applyBorder="1" applyProtection="1">
      <alignment/>
      <protection/>
    </xf>
    <xf numFmtId="3" fontId="1" fillId="0" borderId="2" xfId="21" applyNumberFormat="1" applyFont="1" applyBorder="1" applyAlignment="1" applyProtection="1">
      <alignment horizontal="center"/>
      <protection/>
    </xf>
    <xf numFmtId="3" fontId="20" fillId="0" borderId="0" xfId="21" applyNumberFormat="1" applyFont="1" applyBorder="1" applyAlignment="1" applyProtection="1">
      <alignment horizontal="right"/>
      <protection locked="0"/>
    </xf>
    <xf numFmtId="3" fontId="5" fillId="0" borderId="0" xfId="21" applyNumberFormat="1" applyFont="1" applyBorder="1" applyProtection="1">
      <alignment/>
      <protection/>
    </xf>
    <xf numFmtId="3" fontId="1" fillId="0" borderId="0" xfId="21" applyNumberFormat="1" applyFont="1" applyBorder="1" applyAlignment="1" applyProtection="1">
      <alignment horizontal="center"/>
      <protection/>
    </xf>
    <xf numFmtId="167" fontId="30" fillId="0" borderId="0" xfId="25" applyNumberFormat="1" applyFont="1" applyFill="1" applyBorder="1" applyAlignment="1" applyProtection="1">
      <alignment horizontal="center" vertical="center"/>
      <protection/>
    </xf>
    <xf numFmtId="166" fontId="5" fillId="0" borderId="0" xfId="21" applyNumberFormat="1" applyFont="1" applyBorder="1" applyAlignment="1" applyProtection="1">
      <alignment horizontal="left" wrapText="1"/>
      <protection/>
    </xf>
    <xf numFmtId="166" fontId="5" fillId="0" borderId="0" xfId="22" applyNumberFormat="1" applyFont="1" applyFill="1" applyBorder="1" applyAlignment="1" applyProtection="1">
      <alignment horizontal="left" vertical="top"/>
      <protection/>
    </xf>
    <xf numFmtId="9" fontId="10" fillId="0" borderId="0" xfId="25" applyFont="1" applyAlignment="1" applyProtection="1">
      <alignment horizontal="center"/>
      <protection/>
    </xf>
    <xf numFmtId="3" fontId="28" fillId="0" borderId="2" xfId="21" applyNumberFormat="1" applyFont="1" applyBorder="1" applyAlignment="1" applyProtection="1">
      <alignment horizontal="right"/>
      <protection locked="0"/>
    </xf>
    <xf numFmtId="166" fontId="1" fillId="0" borderId="0" xfId="0" applyFont="1" applyAlignment="1" applyProtection="1">
      <alignment horizontal="left"/>
      <protection/>
    </xf>
    <xf numFmtId="2" fontId="5"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3" fontId="1" fillId="0" borderId="0" xfId="0" applyNumberFormat="1" applyFont="1" applyAlignment="1" applyProtection="1">
      <alignment horizontal="left"/>
      <protection/>
    </xf>
    <xf numFmtId="3" fontId="1" fillId="4" borderId="16" xfId="21" applyNumberFormat="1" applyFont="1" applyFill="1" applyBorder="1" applyAlignment="1" applyProtection="1">
      <alignment horizontal="center"/>
      <protection/>
    </xf>
    <xf numFmtId="9" fontId="5" fillId="0" borderId="0" xfId="25" applyFont="1" applyAlignment="1" applyProtection="1">
      <alignment horizontal="center"/>
      <protection/>
    </xf>
    <xf numFmtId="3" fontId="20" fillId="0" borderId="0" xfId="21" applyNumberFormat="1" applyFont="1" applyFill="1" applyBorder="1" applyAlignment="1" applyProtection="1">
      <alignment horizontal="right"/>
      <protection locked="0"/>
    </xf>
    <xf numFmtId="3" fontId="5" fillId="0" borderId="0" xfId="21" applyNumberFormat="1" applyFont="1" applyFill="1" applyBorder="1" applyProtection="1">
      <alignment/>
      <protection/>
    </xf>
    <xf numFmtId="3" fontId="1" fillId="0" borderId="0" xfId="21" applyNumberFormat="1" applyFont="1" applyFill="1" applyBorder="1" applyAlignment="1" applyProtection="1">
      <alignment horizontal="center"/>
      <protection/>
    </xf>
    <xf numFmtId="166" fontId="8" fillId="0" borderId="0" xfId="21" applyNumberFormat="1" applyFont="1" applyFill="1" applyBorder="1" applyAlignment="1" applyProtection="1">
      <alignment vertical="center"/>
      <protection/>
    </xf>
    <xf numFmtId="166" fontId="8" fillId="0" borderId="0" xfId="21" applyNumberFormat="1" applyFont="1" applyFill="1" applyBorder="1" applyAlignment="1" applyProtection="1">
      <alignment horizontal="center" vertical="center"/>
      <protection/>
    </xf>
    <xf numFmtId="1" fontId="31" fillId="0" borderId="0" xfId="21" applyNumberFormat="1" applyFont="1" applyFill="1" applyBorder="1" applyAlignment="1" applyProtection="1">
      <alignment horizontal="center"/>
      <protection locked="0"/>
    </xf>
    <xf numFmtId="1" fontId="32" fillId="0" borderId="0" xfId="21" applyNumberFormat="1" applyFont="1" applyFill="1" applyBorder="1" applyAlignment="1" applyProtection="1">
      <alignment horizontal="center"/>
      <protection locked="0"/>
    </xf>
    <xf numFmtId="0" fontId="20" fillId="0" borderId="0" xfId="21" applyFont="1" applyFill="1" applyBorder="1" applyAlignment="1" applyProtection="1">
      <alignment/>
      <protection/>
    </xf>
    <xf numFmtId="0" fontId="5" fillId="0" borderId="0" xfId="21" applyFont="1" applyFill="1" applyBorder="1" applyProtection="1">
      <alignment/>
      <protection/>
    </xf>
    <xf numFmtId="0" fontId="1" fillId="0" borderId="0" xfId="21" applyFont="1" applyFill="1" applyBorder="1" applyAlignment="1" applyProtection="1">
      <alignment horizontal="center"/>
      <protection/>
    </xf>
    <xf numFmtId="3" fontId="28" fillId="0" borderId="0" xfId="21" applyNumberFormat="1" applyFont="1" applyFill="1" applyBorder="1" applyAlignment="1" applyProtection="1">
      <alignment horizontal="right"/>
      <protection locked="0"/>
    </xf>
    <xf numFmtId="166" fontId="5" fillId="0" borderId="0" xfId="0" applyFont="1" applyFill="1" applyBorder="1" applyAlignment="1" applyProtection="1">
      <alignment horizontal="left"/>
      <protection/>
    </xf>
    <xf numFmtId="166" fontId="5" fillId="0" borderId="0" xfId="0" applyFont="1" applyFill="1" applyBorder="1" applyAlignment="1" applyProtection="1">
      <alignment horizontal="left"/>
      <protection/>
    </xf>
    <xf numFmtId="166" fontId="1" fillId="0" borderId="0" xfId="0" applyFont="1" applyFill="1" applyBorder="1" applyAlignment="1" applyProtection="1">
      <alignment horizontal="center"/>
      <protection/>
    </xf>
    <xf numFmtId="0" fontId="20" fillId="0" borderId="17" xfId="21" applyFont="1" applyBorder="1" applyProtection="1">
      <alignment/>
      <protection/>
    </xf>
    <xf numFmtId="3" fontId="20" fillId="0" borderId="17" xfId="21" applyNumberFormat="1" applyFont="1" applyBorder="1" applyAlignment="1" applyProtection="1">
      <alignment horizontal="right"/>
      <protection locked="0"/>
    </xf>
    <xf numFmtId="1" fontId="20" fillId="4" borderId="7" xfId="21" applyNumberFormat="1" applyFont="1" applyFill="1" applyBorder="1" applyAlignment="1" applyProtection="1">
      <alignment horizontal="center"/>
      <protection locked="0"/>
    </xf>
    <xf numFmtId="166" fontId="1" fillId="0" borderId="12" xfId="0" applyFont="1" applyBorder="1" applyAlignment="1" applyProtection="1">
      <alignment horizontal="left"/>
      <protection/>
    </xf>
    <xf numFmtId="166" fontId="5" fillId="0" borderId="12" xfId="0" applyFont="1" applyBorder="1" applyAlignment="1" applyProtection="1">
      <alignment horizontal="left"/>
      <protection/>
    </xf>
    <xf numFmtId="3" fontId="20" fillId="0" borderId="12" xfId="21" applyNumberFormat="1" applyFont="1" applyBorder="1" applyAlignment="1" applyProtection="1">
      <alignment horizontal="right"/>
      <protection locked="0"/>
    </xf>
    <xf numFmtId="3" fontId="1" fillId="4" borderId="18" xfId="21" applyNumberFormat="1" applyFont="1" applyFill="1" applyBorder="1" applyAlignment="1" applyProtection="1">
      <alignment horizontal="center"/>
      <protection/>
    </xf>
    <xf numFmtId="3" fontId="24" fillId="0" borderId="2" xfId="21" applyNumberFormat="1" applyFont="1" applyBorder="1" applyAlignment="1" applyProtection="1">
      <alignment horizontal="right"/>
      <protection locked="0"/>
    </xf>
    <xf numFmtId="3" fontId="20" fillId="0" borderId="0" xfId="21" applyNumberFormat="1" applyFont="1" applyProtection="1">
      <alignment/>
      <protection/>
    </xf>
    <xf numFmtId="1" fontId="24" fillId="4" borderId="19" xfId="21" applyNumberFormat="1" applyFont="1" applyFill="1" applyBorder="1" applyAlignment="1" applyProtection="1">
      <alignment horizontal="center"/>
      <protection locked="0"/>
    </xf>
    <xf numFmtId="166" fontId="1" fillId="0" borderId="0" xfId="21" applyNumberFormat="1" applyFont="1" applyBorder="1" applyAlignment="1" applyProtection="1">
      <alignment horizontal="left" wrapText="1"/>
      <protection/>
    </xf>
    <xf numFmtId="166" fontId="5" fillId="0" borderId="0" xfId="21" applyNumberFormat="1" applyFont="1" applyBorder="1" applyAlignment="1" applyProtection="1">
      <alignment horizontal="center" wrapText="1"/>
      <protection/>
    </xf>
    <xf numFmtId="166" fontId="1" fillId="0" borderId="2" xfId="21" applyNumberFormat="1" applyFont="1" applyBorder="1" applyAlignment="1" applyProtection="1">
      <alignment horizontal="left" wrapText="1"/>
      <protection/>
    </xf>
    <xf numFmtId="166" fontId="5" fillId="0" borderId="2" xfId="21" applyNumberFormat="1" applyFont="1" applyBorder="1" applyAlignment="1" applyProtection="1">
      <alignment horizontal="center" wrapText="1"/>
      <protection/>
    </xf>
    <xf numFmtId="3" fontId="24" fillId="0" borderId="0" xfId="21" applyNumberFormat="1" applyFont="1" applyBorder="1" applyAlignment="1" applyProtection="1">
      <alignment horizontal="right"/>
      <protection locked="0"/>
    </xf>
    <xf numFmtId="3" fontId="24" fillId="0" borderId="17" xfId="21" applyNumberFormat="1" applyFont="1" applyBorder="1" applyAlignment="1" applyProtection="1">
      <alignment horizontal="right"/>
      <protection locked="0"/>
    </xf>
    <xf numFmtId="3" fontId="24" fillId="0" borderId="0" xfId="21" applyNumberFormat="1" applyFont="1" applyAlignment="1" applyProtection="1">
      <alignment horizontal="right"/>
      <protection locked="0"/>
    </xf>
    <xf numFmtId="3" fontId="24" fillId="0" borderId="20" xfId="21" applyNumberFormat="1" applyFont="1" applyBorder="1" applyAlignment="1" applyProtection="1">
      <alignment horizontal="right"/>
      <protection locked="0"/>
    </xf>
    <xf numFmtId="166" fontId="5" fillId="0" borderId="0" xfId="0" applyFont="1" applyAlignment="1" applyProtection="1">
      <alignment horizontal="left" wrapText="1"/>
      <protection/>
    </xf>
    <xf numFmtId="9" fontId="10" fillId="0" borderId="0" xfId="25" applyFont="1" applyAlignment="1" applyProtection="1">
      <alignment horizontal="center" wrapText="1"/>
      <protection/>
    </xf>
    <xf numFmtId="166" fontId="5" fillId="0" borderId="2" xfId="0" applyFont="1" applyBorder="1" applyAlignment="1" applyProtection="1">
      <alignment horizontal="left" wrapText="1"/>
      <protection/>
    </xf>
    <xf numFmtId="9" fontId="10" fillId="0" borderId="2" xfId="25" applyFont="1" applyBorder="1" applyAlignment="1" applyProtection="1">
      <alignment horizontal="center" wrapText="1"/>
      <protection/>
    </xf>
    <xf numFmtId="3" fontId="28" fillId="0" borderId="0" xfId="21" applyNumberFormat="1" applyFont="1" applyBorder="1" applyAlignment="1" applyProtection="1">
      <alignment horizontal="right"/>
      <protection locked="0"/>
    </xf>
    <xf numFmtId="166" fontId="5" fillId="4" borderId="8" xfId="0" applyFont="1" applyFill="1" applyBorder="1" applyAlignment="1" applyProtection="1">
      <alignment horizontal="left"/>
      <protection/>
    </xf>
    <xf numFmtId="166" fontId="5" fillId="4" borderId="8" xfId="0" applyFont="1" applyFill="1" applyBorder="1" applyAlignment="1" applyProtection="1">
      <alignment horizontal="left"/>
      <protection/>
    </xf>
    <xf numFmtId="0" fontId="13" fillId="3" borderId="3" xfId="0" applyNumberFormat="1" applyFont="1" applyFill="1" applyBorder="1" applyAlignment="1" applyProtection="1">
      <alignment/>
      <protection/>
    </xf>
    <xf numFmtId="166" fontId="29" fillId="0" borderId="0" xfId="0" applyFont="1" applyAlignment="1" applyProtection="1">
      <alignment horizontal="left"/>
      <protection/>
    </xf>
    <xf numFmtId="3" fontId="1" fillId="0" borderId="21" xfId="21" applyNumberFormat="1" applyFont="1" applyBorder="1" applyAlignment="1" applyProtection="1">
      <alignment horizontal="center"/>
      <protection/>
    </xf>
    <xf numFmtId="3" fontId="1" fillId="0" borderId="19" xfId="21" applyNumberFormat="1" applyFont="1" applyBorder="1" applyAlignment="1" applyProtection="1">
      <alignment horizontal="center"/>
      <protection/>
    </xf>
    <xf numFmtId="166" fontId="29" fillId="0" borderId="0" xfId="21" applyNumberFormat="1" applyFont="1" applyBorder="1" applyAlignment="1" applyProtection="1">
      <alignment horizontal="left"/>
      <protection/>
    </xf>
    <xf numFmtId="166" fontId="8" fillId="4" borderId="8" xfId="21" applyNumberFormat="1" applyFont="1" applyFill="1" applyBorder="1" applyAlignment="1" applyProtection="1">
      <alignment horizontal="center" vertical="center"/>
      <protection/>
    </xf>
    <xf numFmtId="166" fontId="1" fillId="0" borderId="4" xfId="21" applyNumberFormat="1" applyFont="1" applyBorder="1" applyAlignment="1" applyProtection="1">
      <alignment horizontal="left"/>
      <protection/>
    </xf>
    <xf numFmtId="166" fontId="1" fillId="0" borderId="4" xfId="21" applyNumberFormat="1" applyFont="1" applyBorder="1" applyAlignment="1" applyProtection="1">
      <alignment horizontal="center" wrapText="1"/>
      <protection/>
    </xf>
    <xf numFmtId="166" fontId="29" fillId="0" borderId="4" xfId="21" applyNumberFormat="1" applyFont="1" applyBorder="1" applyAlignment="1" applyProtection="1">
      <alignment horizontal="left"/>
      <protection/>
    </xf>
  </cellXfs>
  <cellStyles count="16">
    <cellStyle name="Normal" xfId="0"/>
    <cellStyle name="1Normal" xfId="15"/>
    <cellStyle name="Norma11l" xfId="16"/>
    <cellStyle name="Normal_Bankruptcy indicators" xfId="17"/>
    <cellStyle name="Hyperlink" xfId="18"/>
    <cellStyle name="Currency" xfId="19"/>
    <cellStyle name="Currency [0]" xfId="20"/>
    <cellStyle name="Обычный_1997 год" xfId="21"/>
    <cellStyle name="Обычный_MAIN_Balance" xfId="22"/>
    <cellStyle name="Обычный_TOTAL" xfId="23"/>
    <cellStyle name="Followed Hyperlink" xfId="24"/>
    <cellStyle name="Percent" xfId="25"/>
    <cellStyle name="Тысячи [0]_Chart1 (Sales &amp; Costs)" xfId="26"/>
    <cellStyle name="Тысячи_Chart1 (Sales &amp; Costs)" xfId="27"/>
    <cellStyle name="Comma" xfId="28"/>
    <cellStyle name="Comma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transitionEvaluation="1" transitionEntry="1">
    <outlinePr summaryRight="0"/>
  </sheetPr>
  <dimension ref="A1:P103"/>
  <sheetViews>
    <sheetView tabSelected="1" zoomScale="80" zoomScaleNormal="80" workbookViewId="0" topLeftCell="A1">
      <selection activeCell="A1" sqref="A1"/>
    </sheetView>
  </sheetViews>
  <sheetFormatPr defaultColWidth="14.375" defaultRowHeight="12" outlineLevelRow="1"/>
  <cols>
    <col min="1" max="1" width="52.625" style="1" customWidth="1"/>
    <col min="2" max="2" width="13.125" style="1" customWidth="1"/>
    <col min="3" max="3" width="12.625" style="1" customWidth="1"/>
    <col min="4" max="4" width="13.25390625" style="1" customWidth="1"/>
    <col min="5" max="5" width="12.625" style="1" customWidth="1"/>
    <col min="6" max="7" width="12.625" style="26" customWidth="1"/>
    <col min="8" max="8" width="1.75390625" style="1" customWidth="1"/>
    <col min="9" max="9" width="14.375" style="72" customWidth="1"/>
    <col min="10" max="15" width="14.375" style="1" customWidth="1"/>
    <col min="16" max="16" width="12.625" style="26" customWidth="1"/>
    <col min="17" max="16384" width="14.375" style="1" customWidth="1"/>
  </cols>
  <sheetData>
    <row r="1" ht="13.5" customHeight="1">
      <c r="A1" s="9" t="s">
        <v>0</v>
      </c>
    </row>
    <row r="2" spans="1:16" ht="13.5" thickBot="1">
      <c r="A2" s="42"/>
      <c r="B2" s="43"/>
      <c r="C2" s="44"/>
      <c r="D2" s="43"/>
      <c r="E2" s="43"/>
      <c r="F2" s="44"/>
      <c r="G2" s="44"/>
      <c r="H2" s="44"/>
      <c r="P2" s="44"/>
    </row>
    <row r="3" spans="1:16" ht="13.5" thickTop="1">
      <c r="A3" s="20"/>
      <c r="B3" s="21"/>
      <c r="C3" s="21"/>
      <c r="D3" s="21"/>
      <c r="E3" s="21"/>
      <c r="F3" s="21"/>
      <c r="G3" s="21"/>
      <c r="H3" s="21"/>
      <c r="P3" s="21"/>
    </row>
    <row r="4" spans="1:16" ht="12" customHeight="1">
      <c r="A4" s="22"/>
      <c r="B4" s="22"/>
      <c r="D4" s="23" t="s">
        <v>1</v>
      </c>
      <c r="E4" s="22"/>
      <c r="F4" s="22"/>
      <c r="G4" s="22"/>
      <c r="H4" s="22"/>
      <c r="P4" s="22"/>
    </row>
    <row r="5" spans="1:16" ht="13.5" thickBot="1">
      <c r="A5" s="24"/>
      <c r="B5" s="24"/>
      <c r="C5" s="24"/>
      <c r="D5" s="24"/>
      <c r="E5" s="24"/>
      <c r="F5" s="24"/>
      <c r="G5" s="24"/>
      <c r="H5" s="24"/>
      <c r="P5" s="24"/>
    </row>
    <row r="6" spans="1:16" ht="13.5" thickTop="1">
      <c r="A6" s="39"/>
      <c r="B6" s="40"/>
      <c r="C6" s="39"/>
      <c r="D6" s="40"/>
      <c r="E6" s="39"/>
      <c r="F6" s="40"/>
      <c r="G6" s="40"/>
      <c r="H6" s="41"/>
      <c r="P6" s="40"/>
    </row>
    <row r="7" spans="1:16" ht="18.75" customHeight="1" thickBot="1">
      <c r="A7" s="134" t="s">
        <v>59</v>
      </c>
      <c r="B7" s="13"/>
      <c r="C7" s="14"/>
      <c r="D7" s="14"/>
      <c r="E7" s="14"/>
      <c r="F7" s="14"/>
      <c r="G7" s="14"/>
      <c r="H7" s="14"/>
      <c r="P7" s="14"/>
    </row>
    <row r="8" spans="1:16" s="4" customFormat="1" ht="12.75">
      <c r="A8" s="10"/>
      <c r="B8" s="11"/>
      <c r="C8" s="12"/>
      <c r="D8" s="12"/>
      <c r="E8" s="12"/>
      <c r="F8" s="12"/>
      <c r="G8" s="12"/>
      <c r="H8" s="34"/>
      <c r="I8" s="73"/>
      <c r="P8" s="12"/>
    </row>
    <row r="9" spans="1:16" ht="12.75">
      <c r="A9" s="2"/>
      <c r="B9" s="5"/>
      <c r="C9" s="6"/>
      <c r="D9" s="3"/>
      <c r="F9" s="27"/>
      <c r="G9" s="27"/>
      <c r="P9" s="27"/>
    </row>
    <row r="10" spans="1:3" ht="25.5" customHeight="1">
      <c r="A10" s="49" t="s">
        <v>56</v>
      </c>
      <c r="B10" s="30">
        <v>5</v>
      </c>
      <c r="C10" s="31"/>
    </row>
    <row r="11" spans="1:16" s="4" customFormat="1" ht="12.75" hidden="1">
      <c r="A11" s="32" t="s">
        <v>2</v>
      </c>
      <c r="B11" s="28">
        <v>5</v>
      </c>
      <c r="C11" s="16"/>
      <c r="D11" s="33">
        <f>B15</f>
        <v>360</v>
      </c>
      <c r="E11" s="33">
        <f>D11</f>
        <v>360</v>
      </c>
      <c r="F11" s="33">
        <f>E11</f>
        <v>360</v>
      </c>
      <c r="G11" s="33">
        <f>F11</f>
        <v>360</v>
      </c>
      <c r="H11" s="34"/>
      <c r="I11" s="73"/>
      <c r="P11" s="33">
        <f>O11</f>
        <v>0</v>
      </c>
    </row>
    <row r="12" spans="1:16" s="4" customFormat="1" ht="12.75">
      <c r="A12" s="15"/>
      <c r="B12" s="16"/>
      <c r="C12" s="16"/>
      <c r="D12" s="16"/>
      <c r="E12" s="16"/>
      <c r="F12" s="16"/>
      <c r="G12" s="16"/>
      <c r="H12" s="34"/>
      <c r="I12" s="73"/>
      <c r="P12" s="16"/>
    </row>
    <row r="13" spans="1:16" s="47" customFormat="1" ht="12.75">
      <c r="A13" s="15"/>
      <c r="B13" s="45"/>
      <c r="C13" s="45"/>
      <c r="D13" s="45"/>
      <c r="E13" s="45"/>
      <c r="F13" s="45"/>
      <c r="G13" s="45"/>
      <c r="H13" s="46"/>
      <c r="I13" s="74"/>
      <c r="J13" s="107"/>
      <c r="P13" s="45"/>
    </row>
    <row r="14" spans="1:16" s="4" customFormat="1" ht="12.75">
      <c r="A14" s="49" t="s">
        <v>3</v>
      </c>
      <c r="B14" s="49"/>
      <c r="C14" s="49"/>
      <c r="D14" s="16"/>
      <c r="E14" s="16"/>
      <c r="F14" s="16"/>
      <c r="G14" s="16"/>
      <c r="H14" s="34"/>
      <c r="I14" s="73"/>
      <c r="P14" s="16"/>
    </row>
    <row r="15" spans="1:16" s="48" customFormat="1" ht="12.75">
      <c r="A15" s="50" t="s">
        <v>4</v>
      </c>
      <c r="B15" s="77">
        <v>360</v>
      </c>
      <c r="C15" s="50" t="s">
        <v>5</v>
      </c>
      <c r="D15" s="50"/>
      <c r="E15" s="50"/>
      <c r="F15" s="50"/>
      <c r="G15" s="50"/>
      <c r="H15" s="50"/>
      <c r="I15" s="74"/>
      <c r="J15" s="106"/>
      <c r="P15" s="50"/>
    </row>
    <row r="16" spans="1:16" s="48" customFormat="1" ht="12.75">
      <c r="A16" s="50"/>
      <c r="B16" s="51"/>
      <c r="C16" s="50"/>
      <c r="D16" s="50"/>
      <c r="E16" s="50"/>
      <c r="F16" s="50"/>
      <c r="G16" s="50"/>
      <c r="H16" s="50"/>
      <c r="I16" s="74"/>
      <c r="J16" s="106"/>
      <c r="P16" s="50"/>
    </row>
    <row r="17" spans="1:16" s="48" customFormat="1" ht="12.75">
      <c r="A17" s="52" t="s">
        <v>6</v>
      </c>
      <c r="B17" s="53"/>
      <c r="C17" s="54"/>
      <c r="D17" s="55"/>
      <c r="E17" s="55"/>
      <c r="F17" s="55"/>
      <c r="G17" s="55"/>
      <c r="H17" s="55"/>
      <c r="I17" s="74"/>
      <c r="J17" s="106"/>
      <c r="P17" s="55"/>
    </row>
    <row r="18" spans="1:16" s="48" customFormat="1" ht="12.75">
      <c r="A18" s="55" t="s">
        <v>57</v>
      </c>
      <c r="B18" s="56">
        <v>20000</v>
      </c>
      <c r="C18" s="57" t="s">
        <v>7</v>
      </c>
      <c r="D18" s="55"/>
      <c r="E18" s="55" t="s">
        <v>38</v>
      </c>
      <c r="F18" s="55"/>
      <c r="G18" s="55"/>
      <c r="H18" s="55"/>
      <c r="I18" s="74"/>
      <c r="J18" s="106"/>
      <c r="P18" s="55"/>
    </row>
    <row r="19" spans="1:16" s="48" customFormat="1" ht="12.75">
      <c r="A19" s="55" t="s">
        <v>8</v>
      </c>
      <c r="B19" s="58">
        <v>0.18</v>
      </c>
      <c r="C19" s="54"/>
      <c r="D19" s="55"/>
      <c r="E19" s="55"/>
      <c r="F19" s="55"/>
      <c r="G19" s="55"/>
      <c r="H19" s="55"/>
      <c r="I19" s="74"/>
      <c r="J19" s="106"/>
      <c r="P19" s="55"/>
    </row>
    <row r="20" spans="1:16" s="48" customFormat="1" ht="29.25" customHeight="1">
      <c r="A20" s="59" t="s">
        <v>9</v>
      </c>
      <c r="B20" s="84">
        <v>0.1</v>
      </c>
      <c r="C20" s="54"/>
      <c r="D20" s="55"/>
      <c r="E20" s="55"/>
      <c r="F20" s="55"/>
      <c r="G20" s="55"/>
      <c r="H20" s="55"/>
      <c r="I20" s="74"/>
      <c r="J20" s="106"/>
      <c r="P20" s="55"/>
    </row>
    <row r="21" spans="1:16" s="48" customFormat="1" ht="27.75" customHeight="1">
      <c r="A21" s="59" t="s">
        <v>12</v>
      </c>
      <c r="B21" s="84">
        <v>0.14</v>
      </c>
      <c r="C21" s="54"/>
      <c r="D21" s="55"/>
      <c r="E21" s="55"/>
      <c r="F21" s="55"/>
      <c r="G21" s="55"/>
      <c r="H21" s="55"/>
      <c r="I21" s="74"/>
      <c r="J21" s="106"/>
      <c r="P21" s="55"/>
    </row>
    <row r="22" spans="1:16" s="48" customFormat="1" ht="12.75">
      <c r="A22" s="59" t="s">
        <v>18</v>
      </c>
      <c r="B22" s="84">
        <v>0.022</v>
      </c>
      <c r="C22" s="54"/>
      <c r="D22" s="55"/>
      <c r="E22" s="55"/>
      <c r="F22" s="55"/>
      <c r="G22" s="55"/>
      <c r="H22" s="55"/>
      <c r="I22" s="74"/>
      <c r="J22" s="106"/>
      <c r="P22" s="55"/>
    </row>
    <row r="23" spans="1:16" s="48" customFormat="1" ht="28.5" customHeight="1">
      <c r="A23" s="59" t="s">
        <v>60</v>
      </c>
      <c r="B23" s="60">
        <f>B18/(1+B19)</f>
        <v>16949.15254237288</v>
      </c>
      <c r="C23" s="55" t="str">
        <f>$C$18</f>
        <v>тыс. руб.</v>
      </c>
      <c r="D23" s="55"/>
      <c r="E23" s="55"/>
      <c r="F23" s="55"/>
      <c r="G23" s="55"/>
      <c r="H23" s="55"/>
      <c r="I23" s="74"/>
      <c r="J23" s="106"/>
      <c r="P23" s="55"/>
    </row>
    <row r="24" spans="1:16" s="48" customFormat="1" ht="12.75">
      <c r="A24" s="59" t="s">
        <v>10</v>
      </c>
      <c r="B24" s="60">
        <f>B18-B23</f>
        <v>3050.8474576271183</v>
      </c>
      <c r="C24" s="55" t="str">
        <f>$C$18</f>
        <v>тыс. руб.</v>
      </c>
      <c r="D24" s="55"/>
      <c r="E24" s="55"/>
      <c r="F24" s="55"/>
      <c r="G24" s="55"/>
      <c r="H24" s="55"/>
      <c r="I24" s="74"/>
      <c r="J24" s="106"/>
      <c r="P24" s="55"/>
    </row>
    <row r="25" spans="1:16" s="48" customFormat="1" ht="12.75">
      <c r="A25" s="55"/>
      <c r="B25" s="55"/>
      <c r="C25" s="54"/>
      <c r="D25" s="55"/>
      <c r="E25" s="55"/>
      <c r="F25" s="55"/>
      <c r="G25" s="55"/>
      <c r="H25" s="55"/>
      <c r="I25" s="74"/>
      <c r="J25" s="106"/>
      <c r="P25" s="55"/>
    </row>
    <row r="26" spans="1:16" s="48" customFormat="1" ht="12.75">
      <c r="A26" s="52" t="s">
        <v>11</v>
      </c>
      <c r="B26" s="55"/>
      <c r="C26" s="54"/>
      <c r="D26" s="55"/>
      <c r="E26" s="55"/>
      <c r="F26" s="55"/>
      <c r="G26" s="55"/>
      <c r="H26" s="55"/>
      <c r="I26" s="74"/>
      <c r="J26" s="106"/>
      <c r="P26" s="55"/>
    </row>
    <row r="27" spans="1:16" s="48" customFormat="1" ht="12.75">
      <c r="A27" s="55" t="s">
        <v>21</v>
      </c>
      <c r="B27" s="56">
        <v>4</v>
      </c>
      <c r="C27" s="86" t="str">
        <f>D36</f>
        <v>годы</v>
      </c>
      <c r="D27" s="55"/>
      <c r="E27" s="55"/>
      <c r="F27" s="55"/>
      <c r="G27" s="55"/>
      <c r="H27" s="55"/>
      <c r="I27" s="74"/>
      <c r="J27" s="106"/>
      <c r="P27" s="55"/>
    </row>
    <row r="28" spans="1:16" s="48" customFormat="1" ht="25.5">
      <c r="A28" s="59" t="s">
        <v>58</v>
      </c>
      <c r="B28" s="56">
        <v>6200</v>
      </c>
      <c r="C28" s="55" t="str">
        <f>$C$18</f>
        <v>тыс. руб.</v>
      </c>
      <c r="D28" s="55" t="s">
        <v>38</v>
      </c>
      <c r="E28" s="55"/>
      <c r="F28" s="55"/>
      <c r="G28" s="55"/>
      <c r="H28" s="55"/>
      <c r="I28" s="74"/>
      <c r="J28" s="106"/>
      <c r="P28" s="55"/>
    </row>
    <row r="29" spans="1:3" ht="12.75">
      <c r="A29" s="1" t="s">
        <v>35</v>
      </c>
      <c r="B29" s="56">
        <v>0</v>
      </c>
      <c r="C29" s="55" t="str">
        <f>$C$18</f>
        <v>тыс. руб.</v>
      </c>
    </row>
    <row r="30" spans="1:16" s="48" customFormat="1" ht="30" customHeight="1">
      <c r="A30" s="59" t="s">
        <v>13</v>
      </c>
      <c r="B30" s="84">
        <v>0.12</v>
      </c>
      <c r="C30" s="55"/>
      <c r="D30" s="55"/>
      <c r="E30" s="55"/>
      <c r="F30" s="55"/>
      <c r="G30" s="55"/>
      <c r="H30" s="55"/>
      <c r="I30" s="74"/>
      <c r="J30" s="106"/>
      <c r="P30" s="55"/>
    </row>
    <row r="31" spans="1:16" s="48" customFormat="1" ht="12.75">
      <c r="A31" s="59" t="s">
        <v>33</v>
      </c>
      <c r="B31" s="60">
        <f>B28/(1+B19)</f>
        <v>5254.237288135593</v>
      </c>
      <c r="C31" s="55" t="str">
        <f>$C$18</f>
        <v>тыс. руб.</v>
      </c>
      <c r="D31" s="55"/>
      <c r="E31" s="55"/>
      <c r="F31" s="55"/>
      <c r="G31" s="55"/>
      <c r="H31" s="55"/>
      <c r="I31" s="74"/>
      <c r="J31" s="106"/>
      <c r="P31" s="55"/>
    </row>
    <row r="32" spans="1:16" s="48" customFormat="1" ht="12.75">
      <c r="A32" s="59" t="s">
        <v>34</v>
      </c>
      <c r="B32" s="60">
        <f>B28-B31</f>
        <v>945.7627118644068</v>
      </c>
      <c r="C32" s="55" t="str">
        <f>$C$18</f>
        <v>тыс. руб.</v>
      </c>
      <c r="D32" s="55"/>
      <c r="E32" s="55"/>
      <c r="F32" s="55"/>
      <c r="G32" s="55"/>
      <c r="H32" s="55"/>
      <c r="I32" s="74"/>
      <c r="J32" s="106"/>
      <c r="P32" s="55"/>
    </row>
    <row r="33" spans="1:16" s="48" customFormat="1" ht="13.5" thickBot="1">
      <c r="A33" s="61"/>
      <c r="B33" s="62"/>
      <c r="C33" s="63"/>
      <c r="D33" s="55"/>
      <c r="E33" s="55"/>
      <c r="F33" s="55"/>
      <c r="G33" s="55"/>
      <c r="H33" s="55"/>
      <c r="I33" s="74"/>
      <c r="J33" s="106"/>
      <c r="P33" s="55"/>
    </row>
    <row r="34" spans="1:16" s="48" customFormat="1" ht="13.5" thickTop="1">
      <c r="A34" s="59"/>
      <c r="B34" s="56"/>
      <c r="C34" s="55"/>
      <c r="D34" s="55"/>
      <c r="E34" s="55"/>
      <c r="F34" s="55"/>
      <c r="G34" s="55"/>
      <c r="H34" s="55"/>
      <c r="I34" s="74"/>
      <c r="J34" s="106"/>
      <c r="P34" s="55"/>
    </row>
    <row r="35" spans="1:16" ht="12.75">
      <c r="A35" s="2"/>
      <c r="B35" s="5"/>
      <c r="C35" s="6"/>
      <c r="D35" s="3"/>
      <c r="F35" s="27"/>
      <c r="G35" s="27"/>
      <c r="P35" s="27"/>
    </row>
    <row r="36" spans="1:16" s="7" customFormat="1" ht="12.75">
      <c r="A36" s="17" t="s">
        <v>14</v>
      </c>
      <c r="B36" s="64"/>
      <c r="C36" s="25"/>
      <c r="D36" s="139" t="str">
        <f>IF($B$15=360,"годы",IF($B$15=180,"полугодия",IF($B$15=90,"кварталы","месяцы")))</f>
        <v>годы</v>
      </c>
      <c r="E36" s="139"/>
      <c r="F36" s="29"/>
      <c r="G36" s="29"/>
      <c r="H36" s="29"/>
      <c r="I36" s="68" t="s">
        <v>16</v>
      </c>
      <c r="P36" s="29"/>
    </row>
    <row r="37" spans="1:16" s="7" customFormat="1" ht="12.75">
      <c r="A37" s="18" t="s">
        <v>15</v>
      </c>
      <c r="B37" s="65"/>
      <c r="C37" s="66">
        <v>1</v>
      </c>
      <c r="D37" s="67">
        <f>C37+1</f>
        <v>2</v>
      </c>
      <c r="E37" s="67">
        <f>D37+1</f>
        <v>3</v>
      </c>
      <c r="F37" s="67">
        <f>E37+1</f>
        <v>4</v>
      </c>
      <c r="G37" s="67">
        <f>F37+1</f>
        <v>5</v>
      </c>
      <c r="H37" s="67"/>
      <c r="I37" s="118" t="str">
        <f>$C$18</f>
        <v>тыс. руб.</v>
      </c>
      <c r="P37" s="67">
        <f>O37+1</f>
        <v>1</v>
      </c>
    </row>
    <row r="38" spans="1:16" s="7" customFormat="1" ht="12.75">
      <c r="A38" s="142" t="s">
        <v>66</v>
      </c>
      <c r="B38" s="142"/>
      <c r="C38" s="36"/>
      <c r="D38" s="36"/>
      <c r="E38" s="36"/>
      <c r="F38" s="37"/>
      <c r="G38" s="37"/>
      <c r="I38" s="75"/>
      <c r="P38" s="37"/>
    </row>
    <row r="39" spans="1:16" s="7" customFormat="1" ht="12.75">
      <c r="A39" s="127" t="s">
        <v>68</v>
      </c>
      <c r="B39" s="128"/>
      <c r="C39" s="38">
        <v>20000</v>
      </c>
      <c r="D39" s="38">
        <v>0</v>
      </c>
      <c r="E39" s="38">
        <v>0</v>
      </c>
      <c r="F39" s="38">
        <v>0</v>
      </c>
      <c r="G39" s="38">
        <v>0</v>
      </c>
      <c r="H39" s="19"/>
      <c r="I39" s="76">
        <f>SUM(C39:H39)</f>
        <v>20000</v>
      </c>
      <c r="J39" s="7">
        <f>IF($B$18&lt;&gt;I39,"Суммы оплаты активов и Стоимость активов, указанная в описании сделки не совпадают!","")</f>
      </c>
      <c r="P39" s="38">
        <v>0</v>
      </c>
    </row>
    <row r="40" spans="1:16" s="7" customFormat="1" ht="12.75">
      <c r="A40" s="127" t="s">
        <v>69</v>
      </c>
      <c r="B40" s="128"/>
      <c r="C40" s="38"/>
      <c r="D40" s="38"/>
      <c r="E40" s="38"/>
      <c r="F40" s="38"/>
      <c r="G40" s="38"/>
      <c r="H40" s="19"/>
      <c r="I40" s="76"/>
      <c r="P40" s="38"/>
    </row>
    <row r="41" spans="1:16" s="7" customFormat="1" ht="12.75">
      <c r="A41" s="26" t="s">
        <v>70</v>
      </c>
      <c r="B41" s="87"/>
      <c r="C41" s="131">
        <v>13000</v>
      </c>
      <c r="D41" s="131">
        <v>0</v>
      </c>
      <c r="E41" s="131">
        <v>0</v>
      </c>
      <c r="F41" s="131">
        <v>0</v>
      </c>
      <c r="G41" s="131">
        <v>0</v>
      </c>
      <c r="H41" s="82"/>
      <c r="I41" s="136">
        <f>SUM(C41:H41)</f>
        <v>13000</v>
      </c>
      <c r="J41" s="7" t="s">
        <v>62</v>
      </c>
      <c r="P41" s="131">
        <v>0</v>
      </c>
    </row>
    <row r="42" spans="1:16" s="7" customFormat="1" ht="12.75" customHeight="1">
      <c r="A42" s="26" t="s">
        <v>74</v>
      </c>
      <c r="B42" s="87"/>
      <c r="C42" s="38">
        <f>C39-C41</f>
        <v>7000</v>
      </c>
      <c r="D42" s="38">
        <f>D39-D41</f>
        <v>0</v>
      </c>
      <c r="E42" s="38">
        <f>E39-E41</f>
        <v>0</v>
      </c>
      <c r="F42" s="38">
        <f>F39-F41</f>
        <v>0</v>
      </c>
      <c r="G42" s="38">
        <f>G39-G41</f>
        <v>0</v>
      </c>
      <c r="H42" s="19"/>
      <c r="I42" s="137">
        <f>SUM(C42:H42)</f>
        <v>7000</v>
      </c>
      <c r="J42" s="7" t="s">
        <v>63</v>
      </c>
      <c r="P42" s="38">
        <f>P39-P41</f>
        <v>0</v>
      </c>
    </row>
    <row r="43" spans="1:16" s="7" customFormat="1" ht="12.75">
      <c r="A43" s="26"/>
      <c r="B43" s="87"/>
      <c r="C43" s="81"/>
      <c r="D43" s="81"/>
      <c r="E43" s="81"/>
      <c r="F43" s="81"/>
      <c r="G43" s="81"/>
      <c r="H43" s="82"/>
      <c r="I43" s="83"/>
      <c r="P43" s="81"/>
    </row>
    <row r="44" spans="1:16" s="7" customFormat="1" ht="12.75">
      <c r="A44" s="135" t="s">
        <v>61</v>
      </c>
      <c r="B44" s="87"/>
      <c r="C44" s="36"/>
      <c r="D44" s="36"/>
      <c r="E44" s="36"/>
      <c r="F44" s="37"/>
      <c r="G44" s="37"/>
      <c r="I44" s="75"/>
      <c r="P44" s="37"/>
    </row>
    <row r="45" spans="1:16" s="7" customFormat="1" ht="12.75">
      <c r="A45" s="127" t="s">
        <v>72</v>
      </c>
      <c r="B45" s="87"/>
      <c r="C45" s="78">
        <f>$B$20/360*$B$15*$B$23</f>
        <v>1694.9152542372883</v>
      </c>
      <c r="D45" s="78">
        <f>IF((SUM($C$45:C45)+$B$20/360*$B$15*$B$23)&lt;=$B$23,$B$20/360*$B$15*$B$23,0)</f>
        <v>1694.9152542372883</v>
      </c>
      <c r="E45" s="78">
        <f>IF((SUM($C$45:D45)+$B$20/360*$B$15*$B$23)&lt;=$B$23,$B$20/360*$B$15*$B$23,0)</f>
        <v>1694.9152542372883</v>
      </c>
      <c r="F45" s="78">
        <f>IF((SUM($C$45:E45)+$B$20/360*$B$15*$B$23)&lt;=$B$23,$B$20/360*$B$15*$B$23,0)</f>
        <v>1694.9152542372883</v>
      </c>
      <c r="G45" s="78">
        <f>IF((SUM($C$45:F45)+$B$20/360*$B$15*$B$23)&lt;=$B$23,$B$20/360*$B$15*$B$23,0)</f>
        <v>1694.9152542372883</v>
      </c>
      <c r="H45" s="79"/>
      <c r="I45" s="80">
        <f aca="true" t="shared" si="0" ref="I45:I54">SUM(C45:H45)</f>
        <v>8474.57627118644</v>
      </c>
      <c r="P45" s="78">
        <f>IF((SUM($C$45:O45)+$B$20/360*$B$15*$B$23)&lt;=$B$23,$B$20/360*$B$15*$B$23,0)</f>
        <v>0</v>
      </c>
    </row>
    <row r="46" spans="1:16" s="8" customFormat="1" ht="12.75">
      <c r="A46" s="141" t="s">
        <v>17</v>
      </c>
      <c r="B46" s="141"/>
      <c r="C46" s="70"/>
      <c r="D46" s="71"/>
      <c r="E46" s="71"/>
      <c r="F46" s="71"/>
      <c r="G46" s="71"/>
      <c r="H46" s="35"/>
      <c r="I46" s="76"/>
      <c r="J46" s="7"/>
      <c r="P46" s="71"/>
    </row>
    <row r="47" spans="1:16" s="8" customFormat="1" ht="12.75" customHeight="1">
      <c r="A47" s="26" t="s">
        <v>19</v>
      </c>
      <c r="B47" s="87"/>
      <c r="C47" s="69">
        <f>C42</f>
        <v>7000</v>
      </c>
      <c r="D47" s="69">
        <f>D42</f>
        <v>0</v>
      </c>
      <c r="E47" s="69">
        <f>E42</f>
        <v>0</v>
      </c>
      <c r="F47" s="69">
        <f>F42</f>
        <v>0</v>
      </c>
      <c r="G47" s="69">
        <f>G42</f>
        <v>0</v>
      </c>
      <c r="H47" s="19"/>
      <c r="I47" s="136">
        <f t="shared" si="0"/>
        <v>7000</v>
      </c>
      <c r="J47" s="7" t="s">
        <v>62</v>
      </c>
      <c r="P47" s="69">
        <f>P42</f>
        <v>0</v>
      </c>
    </row>
    <row r="48" spans="1:16" s="8" customFormat="1" ht="12.75">
      <c r="A48" s="26" t="s">
        <v>20</v>
      </c>
      <c r="B48" s="87"/>
      <c r="C48" s="38">
        <v>0</v>
      </c>
      <c r="D48" s="38">
        <v>6500</v>
      </c>
      <c r="E48" s="38">
        <v>6500</v>
      </c>
      <c r="F48" s="38">
        <v>0</v>
      </c>
      <c r="G48" s="38">
        <v>0</v>
      </c>
      <c r="H48" s="19"/>
      <c r="I48" s="137">
        <f t="shared" si="0"/>
        <v>13000</v>
      </c>
      <c r="J48" s="7" t="s">
        <v>63</v>
      </c>
      <c r="P48" s="38">
        <v>0</v>
      </c>
    </row>
    <row r="49" spans="1:16" ht="12.75">
      <c r="A49" s="26" t="s">
        <v>54</v>
      </c>
      <c r="B49" s="94"/>
      <c r="C49" s="38">
        <f>$B$21/360*$B$15*(SUM($C$41:C41)-SUM($C$48:C48))</f>
        <v>1820.0000000000002</v>
      </c>
      <c r="D49" s="38">
        <f>$B$21/360*$B$15*(SUM($C$41:D41)-SUM($C$48:D48))</f>
        <v>910.0000000000001</v>
      </c>
      <c r="E49" s="38">
        <f>$B$21/360*$B$15*(SUM($C$41:E41)-SUM($C$48:E48))</f>
        <v>0</v>
      </c>
      <c r="F49" s="38">
        <f>$B$21/360*$B$15*(SUM($C$41:F41)-SUM($C$48:F48))</f>
        <v>0</v>
      </c>
      <c r="G49" s="38">
        <f>$B$21/360*$B$15*(SUM($C$41:G41)-SUM($C$48:G48))</f>
        <v>0</v>
      </c>
      <c r="H49" s="19"/>
      <c r="I49" s="76">
        <f t="shared" si="0"/>
        <v>2730.0000000000005</v>
      </c>
      <c r="P49" s="38">
        <f>$B$21/360*$B$15*(SUM($C$41:P41)-SUM($C$48:P48))</f>
        <v>0</v>
      </c>
    </row>
    <row r="50" spans="1:16" ht="12.75">
      <c r="A50" s="26" t="s">
        <v>22</v>
      </c>
      <c r="B50" s="87"/>
      <c r="C50" s="69">
        <f>$B$22/360*$B$15*(($B$23-SUM($C$45:C45))+$B$23)*0.5</f>
        <v>354.2372881355932</v>
      </c>
      <c r="D50" s="69">
        <f>$B$22/360*$B$15*(($B$23-SUM($C$45:D45))+$B$23-SUM($C$45:C45))*0.5</f>
        <v>316.9491525423729</v>
      </c>
      <c r="E50" s="69">
        <f>$B$22/360*$B$15*(($B$23-SUM($C$45:E45))+$B$23-SUM($C$45:D45))*0.5</f>
        <v>279.66101694915255</v>
      </c>
      <c r="F50" s="69">
        <f>$B$22/360*$B$15*(($B$23-SUM($C$45:F45))+$B$23-SUM($C$45:E45))*0.5</f>
        <v>242.37288135593218</v>
      </c>
      <c r="G50" s="69">
        <f>$B$22/360*$B$15*(($B$23-SUM($C$45:G45))+$B$23-SUM($C$45:F45))*0.5</f>
        <v>205.08474576271183</v>
      </c>
      <c r="H50" s="19"/>
      <c r="I50" s="76">
        <f t="shared" si="0"/>
        <v>1398.3050847457628</v>
      </c>
      <c r="P50" s="69">
        <f>$B$22/360*$B$15*(($B$23-SUM($C$45:P45))+$B$23-SUM($C$45:O45))*0.5</f>
        <v>0</v>
      </c>
    </row>
    <row r="51" spans="1:16" ht="12.75">
      <c r="A51" s="26" t="s">
        <v>23</v>
      </c>
      <c r="B51" s="87">
        <v>0.24</v>
      </c>
      <c r="C51" s="69">
        <f>$B$51*(C45+C49+C50)</f>
        <v>928.5966101694916</v>
      </c>
      <c r="D51" s="69">
        <f>$B$51*(D45+D49+D50)</f>
        <v>701.2474576271187</v>
      </c>
      <c r="E51" s="69">
        <f>$B$51*(E45+E49+E50)</f>
        <v>473.8983050847458</v>
      </c>
      <c r="F51" s="69">
        <f>$B$51*(F45+F49+F50)</f>
        <v>464.9491525423729</v>
      </c>
      <c r="G51" s="69">
        <f>$B$51*(G45+G49+G50)</f>
        <v>456.00000000000006</v>
      </c>
      <c r="H51" s="19"/>
      <c r="I51" s="76">
        <f t="shared" si="0"/>
        <v>3024.6915254237288</v>
      </c>
      <c r="P51" s="69">
        <f>$B$51*(P45+P49+P50)</f>
        <v>0</v>
      </c>
    </row>
    <row r="52" spans="1:16" ht="43.5" customHeight="1">
      <c r="A52" s="127" t="s">
        <v>25</v>
      </c>
      <c r="B52" s="128"/>
      <c r="C52" s="69">
        <v>0</v>
      </c>
      <c r="D52" s="69">
        <v>0</v>
      </c>
      <c r="E52" s="69">
        <v>0</v>
      </c>
      <c r="F52" s="69">
        <v>0</v>
      </c>
      <c r="G52" s="69">
        <v>0</v>
      </c>
      <c r="H52" s="19"/>
      <c r="I52" s="76">
        <f t="shared" si="0"/>
        <v>0</v>
      </c>
      <c r="P52" s="69">
        <v>0</v>
      </c>
    </row>
    <row r="53" spans="1:16" ht="30" customHeight="1" thickBot="1">
      <c r="A53" s="129" t="s">
        <v>24</v>
      </c>
      <c r="B53" s="130"/>
      <c r="C53" s="88">
        <v>0</v>
      </c>
      <c r="D53" s="88">
        <f>B24</f>
        <v>3050.8474576271183</v>
      </c>
      <c r="E53" s="88">
        <v>0</v>
      </c>
      <c r="F53" s="88">
        <v>0</v>
      </c>
      <c r="G53" s="88">
        <v>0</v>
      </c>
      <c r="H53" s="79"/>
      <c r="I53" s="83">
        <f t="shared" si="0"/>
        <v>3050.8474576271183</v>
      </c>
      <c r="J53" s="7">
        <f>IF($B$24&lt;&gt;I53,"Суммы уплаченного и возмещенного НДС к приобретенным внеоборотным активам не совпадают!","")</f>
      </c>
      <c r="P53" s="88">
        <v>0</v>
      </c>
    </row>
    <row r="54" spans="1:16" ht="13.5" thickBot="1">
      <c r="A54" s="89" t="s">
        <v>26</v>
      </c>
      <c r="B54" s="89"/>
      <c r="C54" s="91">
        <f>C52+C53+C51-C50-C49-C48-C47</f>
        <v>-8245.640677966101</v>
      </c>
      <c r="D54" s="91">
        <f>D52+D53+D51-D50-D49-D48-D47</f>
        <v>-3974.8542372881357</v>
      </c>
      <c r="E54" s="91">
        <f>E52+E53+E51-E50-E49-E48-E47</f>
        <v>-6305.762711864407</v>
      </c>
      <c r="F54" s="91">
        <f>F52+F53+F51-F50-F49-F48-F47</f>
        <v>222.5762711864407</v>
      </c>
      <c r="G54" s="91">
        <f>G52+G53+G51-G50-G49-G48-G47</f>
        <v>250.91525423728822</v>
      </c>
      <c r="H54" s="92"/>
      <c r="I54" s="93">
        <f t="shared" si="0"/>
        <v>-18052.766101694913</v>
      </c>
      <c r="P54" s="91">
        <f>P52+P53+P51-P50-P49-P48-P47</f>
        <v>0</v>
      </c>
    </row>
    <row r="55" spans="1:2" ht="12.75">
      <c r="A55" s="1" t="s">
        <v>27</v>
      </c>
      <c r="B55" s="87">
        <v>0.12</v>
      </c>
    </row>
    <row r="56" spans="1:16" ht="13.5" thickBot="1">
      <c r="A56" s="1" t="s">
        <v>28</v>
      </c>
      <c r="C56" s="90">
        <f>1/((1+$B$55/360*$B$15)^(C37-1))</f>
        <v>1</v>
      </c>
      <c r="D56" s="90">
        <f>1/((1+$B$55/360*$B$15)^(D37-1))</f>
        <v>0.8928571428571428</v>
      </c>
      <c r="E56" s="90">
        <f>1/((1+$B$55/360*$B$15)^(E37-1))</f>
        <v>0.7971938775510203</v>
      </c>
      <c r="F56" s="90">
        <f>1/((1+$B$55/360*$B$15)^(F37-1))</f>
        <v>0.7117802478134109</v>
      </c>
      <c r="G56" s="90">
        <f>1/((1+$B$55/360*$B$15)^(G37-1))</f>
        <v>0.6355180784048312</v>
      </c>
      <c r="H56" s="90">
        <f>1/((1+$B$55%)^1)</f>
        <v>0.998801438274071</v>
      </c>
      <c r="P56" s="90">
        <f>1/((1+$B$55/360*$B$15)^(P37-1))</f>
        <v>1</v>
      </c>
    </row>
    <row r="57" spans="1:16" ht="13.5" thickBot="1">
      <c r="A57" s="112" t="s">
        <v>29</v>
      </c>
      <c r="B57" s="113"/>
      <c r="C57" s="114">
        <f>C56*C54</f>
        <v>-8245.640677966101</v>
      </c>
      <c r="D57" s="114">
        <f>D56*D54</f>
        <v>-3548.976997578692</v>
      </c>
      <c r="E57" s="114">
        <f>E56*E54</f>
        <v>-5026.915427187824</v>
      </c>
      <c r="F57" s="114">
        <f>F56*F54</f>
        <v>158.42539346246969</v>
      </c>
      <c r="G57" s="114">
        <f>G56*G54</f>
        <v>159.4611802153411</v>
      </c>
      <c r="H57" s="113"/>
      <c r="I57" s="115">
        <f>SUM(C57:H57)</f>
        <v>-16503.646529054808</v>
      </c>
      <c r="P57" s="114">
        <f>P56*P54</f>
        <v>0</v>
      </c>
    </row>
    <row r="58" ht="13.5" thickTop="1"/>
    <row r="59" ht="12.75"/>
    <row r="60" ht="12.75"/>
    <row r="61" spans="1:16" ht="12.75">
      <c r="A61" s="17" t="s">
        <v>30</v>
      </c>
      <c r="B61" s="64"/>
      <c r="C61" s="25"/>
      <c r="D61" s="139" t="str">
        <f>IF($B$15=360,"годы",IF($B$15=180,"полугодия",IF($B$15=90,"кварталы","месяцы")))</f>
        <v>годы</v>
      </c>
      <c r="E61" s="139"/>
      <c r="F61" s="29"/>
      <c r="G61" s="29"/>
      <c r="H61" s="29"/>
      <c r="I61" s="68" t="s">
        <v>16</v>
      </c>
      <c r="P61" s="29"/>
    </row>
    <row r="62" spans="1:16" ht="12.75">
      <c r="A62" s="18" t="s">
        <v>31</v>
      </c>
      <c r="B62" s="65"/>
      <c r="C62" s="66">
        <v>1</v>
      </c>
      <c r="D62" s="67">
        <f>C62+1</f>
        <v>2</v>
      </c>
      <c r="E62" s="67">
        <f>D62+1</f>
        <v>3</v>
      </c>
      <c r="F62" s="67">
        <f>E62+1</f>
        <v>4</v>
      </c>
      <c r="G62" s="67">
        <f>F62+1</f>
        <v>5</v>
      </c>
      <c r="H62" s="67"/>
      <c r="I62" s="118" t="str">
        <f>$C$18</f>
        <v>тыс. руб.</v>
      </c>
      <c r="P62" s="67">
        <f>O62+1</f>
        <v>1</v>
      </c>
    </row>
    <row r="63" spans="1:16" ht="12.75">
      <c r="A63" s="142" t="s">
        <v>65</v>
      </c>
      <c r="B63" s="142"/>
      <c r="C63" s="36"/>
      <c r="D63" s="36"/>
      <c r="E63" s="36"/>
      <c r="F63" s="37"/>
      <c r="G63" s="37"/>
      <c r="H63" s="7"/>
      <c r="I63" s="75"/>
      <c r="J63" s="1" t="s">
        <v>64</v>
      </c>
      <c r="P63" s="37"/>
    </row>
    <row r="64" spans="1:16" ht="12.75">
      <c r="A64" s="127" t="s">
        <v>65</v>
      </c>
      <c r="B64" s="138"/>
      <c r="C64" s="131">
        <f>IF(C62&lt;=$B$27,$B$28/360*$B$15)</f>
        <v>6200</v>
      </c>
      <c r="D64" s="131">
        <f>IF(D62&lt;=$B$27,$B$28/360*$B$15)</f>
        <v>6200</v>
      </c>
      <c r="E64" s="131">
        <f>IF(E62&lt;=$B$27,$B$28/360*$B$15)</f>
        <v>6200</v>
      </c>
      <c r="F64" s="131">
        <f>IF(F62&lt;=$B$27,$B$28/360*$B$15)</f>
        <v>6200</v>
      </c>
      <c r="G64" s="131" t="b">
        <f>IF(G62&lt;=$B$27,$B$28/360*$B$15)</f>
        <v>0</v>
      </c>
      <c r="H64" s="7"/>
      <c r="I64" s="76">
        <f>SUM(C64:H64)</f>
        <v>24800</v>
      </c>
      <c r="J64" s="1" t="s">
        <v>75</v>
      </c>
      <c r="P64" s="131">
        <f>IF(P62&lt;=$B$27,$B$28/360*$B$15)</f>
        <v>6200</v>
      </c>
    </row>
    <row r="65" spans="1:16" ht="12.75">
      <c r="A65" s="127" t="s">
        <v>69</v>
      </c>
      <c r="B65" s="128"/>
      <c r="C65" s="38"/>
      <c r="D65" s="38"/>
      <c r="E65" s="38"/>
      <c r="F65" s="38"/>
      <c r="G65" s="38"/>
      <c r="H65" s="7"/>
      <c r="I65" s="76"/>
      <c r="P65" s="38"/>
    </row>
    <row r="66" spans="1:16" ht="12.75">
      <c r="A66" s="26" t="s">
        <v>70</v>
      </c>
      <c r="B66" s="87"/>
      <c r="C66" s="131">
        <f>MAX(0,IF(C39&lt;&gt;0,C64-(C39-C41),0))</f>
        <v>0</v>
      </c>
      <c r="D66" s="131">
        <f>MAX(0,IF(D39&lt;&gt;0,D64-(D39-D41),0))</f>
        <v>0</v>
      </c>
      <c r="E66" s="131">
        <f>MAX(0,IF(E39&lt;&gt;0,E64-(E39-E41),0))</f>
        <v>0</v>
      </c>
      <c r="F66" s="131">
        <f>MAX(0,IF(F39&lt;&gt;0,F64-(F39-F41),0))</f>
        <v>0</v>
      </c>
      <c r="G66" s="131">
        <f>MAX(0,IF(G39&lt;&gt;0,G64-(G39-G41),0))</f>
        <v>0</v>
      </c>
      <c r="H66" s="7"/>
      <c r="I66" s="136">
        <f>SUM(C66:H66)</f>
        <v>0</v>
      </c>
      <c r="J66" s="1" t="s">
        <v>64</v>
      </c>
      <c r="P66" s="131">
        <f>IF(P39&lt;&gt;0,P64-(P39-P41),0)</f>
        <v>0</v>
      </c>
    </row>
    <row r="67" spans="1:16" ht="12.75">
      <c r="A67" s="26" t="s">
        <v>74</v>
      </c>
      <c r="B67" s="87"/>
      <c r="C67" s="38">
        <f>C64-C66</f>
        <v>6200</v>
      </c>
      <c r="D67" s="38">
        <f>D64-D66</f>
        <v>6200</v>
      </c>
      <c r="E67" s="38">
        <f>E64-E66</f>
        <v>6200</v>
      </c>
      <c r="F67" s="38">
        <f>F64-F66</f>
        <v>6200</v>
      </c>
      <c r="G67" s="38">
        <f>G64-G66</f>
        <v>0</v>
      </c>
      <c r="H67" s="7"/>
      <c r="I67" s="137">
        <f>SUM(C67:H67)</f>
        <v>24800</v>
      </c>
      <c r="J67" s="1" t="s">
        <v>75</v>
      </c>
      <c r="P67" s="38">
        <f>P64-P66</f>
        <v>6200</v>
      </c>
    </row>
    <row r="68" spans="1:16" ht="12.75">
      <c r="A68" s="26"/>
      <c r="B68" s="87"/>
      <c r="C68" s="81"/>
      <c r="D68" s="81"/>
      <c r="E68" s="81"/>
      <c r="F68" s="81"/>
      <c r="G68" s="81"/>
      <c r="H68" s="7"/>
      <c r="I68" s="76"/>
      <c r="P68" s="81"/>
    </row>
    <row r="69" spans="1:16" ht="12.75">
      <c r="A69" s="138" t="s">
        <v>67</v>
      </c>
      <c r="B69" s="138"/>
      <c r="C69" s="36"/>
      <c r="D69" s="36"/>
      <c r="E69" s="36"/>
      <c r="F69" s="37"/>
      <c r="G69" s="37"/>
      <c r="H69" s="7"/>
      <c r="I69" s="76"/>
      <c r="P69" s="37"/>
    </row>
    <row r="70" spans="1:16" ht="12.75">
      <c r="A70" s="127" t="s">
        <v>32</v>
      </c>
      <c r="B70" s="128"/>
      <c r="C70" s="69">
        <f>IF(C62=$B$27,$B$29,0)</f>
        <v>0</v>
      </c>
      <c r="D70" s="69">
        <f>IF(D62=$B$27,$B$29,0)</f>
        <v>0</v>
      </c>
      <c r="E70" s="69">
        <f>IF(E62=$B$27,$B$29,0)</f>
        <v>0</v>
      </c>
      <c r="F70" s="69">
        <f>IF(F62=$B$27,$B$29,0)</f>
        <v>0</v>
      </c>
      <c r="G70" s="69">
        <f>IF(G62=$B$27,$B$29,0)</f>
        <v>0</v>
      </c>
      <c r="H70" s="19"/>
      <c r="I70" s="76">
        <f>SUM(C70:H70)</f>
        <v>0</v>
      </c>
      <c r="P70" s="69">
        <f>IF(P62=$B$27,$B$29,0)</f>
        <v>0</v>
      </c>
    </row>
    <row r="71" spans="1:16" ht="27.75" customHeight="1">
      <c r="A71" s="127" t="s">
        <v>36</v>
      </c>
      <c r="B71" s="128"/>
      <c r="C71" s="38">
        <v>0</v>
      </c>
      <c r="D71" s="38">
        <v>0</v>
      </c>
      <c r="E71" s="38">
        <v>0</v>
      </c>
      <c r="F71" s="38">
        <v>0</v>
      </c>
      <c r="G71" s="38">
        <v>0</v>
      </c>
      <c r="H71" s="19"/>
      <c r="I71" s="76">
        <f>SUM(C71:H71)</f>
        <v>0</v>
      </c>
      <c r="P71" s="38">
        <v>0</v>
      </c>
    </row>
    <row r="72" spans="1:16" ht="12.75">
      <c r="A72" s="127" t="s">
        <v>50</v>
      </c>
      <c r="B72" s="128"/>
      <c r="C72" s="81">
        <f>C70-C71</f>
        <v>0</v>
      </c>
      <c r="D72" s="81">
        <f>D70-D71</f>
        <v>0</v>
      </c>
      <c r="E72" s="81">
        <f>E70-E71</f>
        <v>0</v>
      </c>
      <c r="F72" s="81">
        <f>F70-F71</f>
        <v>0</v>
      </c>
      <c r="G72" s="81">
        <f>G70-G71</f>
        <v>0</v>
      </c>
      <c r="H72" s="82"/>
      <c r="I72" s="83">
        <f>SUM(C72:H72)</f>
        <v>0</v>
      </c>
      <c r="P72" s="81">
        <f>P70-P71</f>
        <v>0</v>
      </c>
    </row>
    <row r="73" spans="1:16" ht="12.75">
      <c r="A73" s="127"/>
      <c r="B73" s="128"/>
      <c r="C73" s="81"/>
      <c r="D73" s="81"/>
      <c r="E73" s="81"/>
      <c r="F73" s="81"/>
      <c r="G73" s="81"/>
      <c r="H73" s="82"/>
      <c r="I73" s="83"/>
      <c r="P73" s="81"/>
    </row>
    <row r="74" spans="1:16" ht="12.75">
      <c r="A74" s="135" t="s">
        <v>61</v>
      </c>
      <c r="B74" s="128"/>
      <c r="C74" s="36"/>
      <c r="D74" s="36"/>
      <c r="E74" s="36"/>
      <c r="F74" s="37"/>
      <c r="G74" s="37"/>
      <c r="H74" s="7"/>
      <c r="I74" s="75"/>
      <c r="P74" s="37"/>
    </row>
    <row r="75" spans="1:16" ht="12.75">
      <c r="A75" s="127" t="s">
        <v>71</v>
      </c>
      <c r="B75" s="128"/>
      <c r="C75" s="131">
        <f>IF(C62&lt;=$B$27,$B$31/360*$B$15)</f>
        <v>5254.237288135593</v>
      </c>
      <c r="D75" s="131">
        <f>IF(D62&lt;=$B$27,$B$31/360*$B$15)</f>
        <v>5254.237288135593</v>
      </c>
      <c r="E75" s="131">
        <f>IF(E62&lt;=$B$27,$B$31/360*$B$15)</f>
        <v>5254.237288135593</v>
      </c>
      <c r="F75" s="131">
        <f>IF(F62&lt;=$B$27,$B$31/360*$B$15)</f>
        <v>5254.237288135593</v>
      </c>
      <c r="G75" s="131" t="b">
        <f>IF(G62&lt;=$B$27,$B$31/360*$B$15)</f>
        <v>0</v>
      </c>
      <c r="H75" s="82"/>
      <c r="I75" s="83">
        <f aca="true" t="shared" si="1" ref="I75:I85">SUM(C75:H75)</f>
        <v>21016.949152542373</v>
      </c>
      <c r="P75" s="131">
        <f>IF(P62&lt;=$B$27,$B$31/360*$B$15)</f>
        <v>5254.237288135593</v>
      </c>
    </row>
    <row r="76" spans="1:16" ht="48" customHeight="1" outlineLevel="1">
      <c r="A76" s="127" t="s">
        <v>39</v>
      </c>
      <c r="B76" s="128"/>
      <c r="C76" s="88">
        <v>0</v>
      </c>
      <c r="D76" s="88">
        <v>0</v>
      </c>
      <c r="E76" s="88">
        <v>0</v>
      </c>
      <c r="F76" s="88">
        <v>0</v>
      </c>
      <c r="G76" s="88">
        <v>0</v>
      </c>
      <c r="H76" s="79"/>
      <c r="I76" s="80">
        <f t="shared" si="1"/>
        <v>0</v>
      </c>
      <c r="P76" s="88">
        <v>0</v>
      </c>
    </row>
    <row r="77" spans="1:16" ht="12.75">
      <c r="A77" s="141" t="s">
        <v>17</v>
      </c>
      <c r="B77" s="141"/>
      <c r="C77" s="70"/>
      <c r="D77" s="71"/>
      <c r="E77" s="71"/>
      <c r="F77" s="71"/>
      <c r="G77" s="71"/>
      <c r="H77" s="35"/>
      <c r="I77" s="76"/>
      <c r="P77" s="71"/>
    </row>
    <row r="78" spans="1:16" ht="12.75">
      <c r="A78" s="26" t="s">
        <v>73</v>
      </c>
      <c r="B78" s="128"/>
      <c r="C78" s="69">
        <f>C67</f>
        <v>6200</v>
      </c>
      <c r="D78" s="69">
        <f>D67</f>
        <v>6200</v>
      </c>
      <c r="E78" s="69">
        <f>E67</f>
        <v>6200</v>
      </c>
      <c r="F78" s="69">
        <f>F67</f>
        <v>6200</v>
      </c>
      <c r="G78" s="69">
        <f>G67</f>
        <v>0</v>
      </c>
      <c r="H78" s="19"/>
      <c r="I78" s="136">
        <f t="shared" si="1"/>
        <v>24800</v>
      </c>
      <c r="J78" s="1" t="s">
        <v>64</v>
      </c>
      <c r="P78" s="69">
        <f>P67</f>
        <v>6200</v>
      </c>
    </row>
    <row r="79" spans="1:16" ht="12.75">
      <c r="A79" s="127" t="s">
        <v>20</v>
      </c>
      <c r="B79" s="128"/>
      <c r="C79" s="38">
        <v>0</v>
      </c>
      <c r="D79" s="38">
        <v>0</v>
      </c>
      <c r="E79" s="38">
        <v>0</v>
      </c>
      <c r="F79" s="38">
        <v>0</v>
      </c>
      <c r="G79" s="38">
        <v>0</v>
      </c>
      <c r="H79" s="19"/>
      <c r="I79" s="137">
        <f t="shared" si="1"/>
        <v>0</v>
      </c>
      <c r="J79" s="1" t="s">
        <v>75</v>
      </c>
      <c r="P79" s="38">
        <v>0</v>
      </c>
    </row>
    <row r="80" spans="1:16" ht="12.75">
      <c r="A80" s="127" t="s">
        <v>54</v>
      </c>
      <c r="B80" s="94"/>
      <c r="C80" s="38">
        <f>$B$30/360*$B$15*(SUM($C$72:C72)+SUM($C$66:C66)-SUM($C$79:C79))</f>
        <v>0</v>
      </c>
      <c r="D80" s="38">
        <f>$B$30/360*$B$15*(SUM($C$72:D72)+SUM($C$66:D66)-SUM($C$79:D79))</f>
        <v>0</v>
      </c>
      <c r="E80" s="38">
        <f>$B$30/360*$B$15*(SUM($C$72:E72)+SUM($C$66:E66)-SUM($C$79:E79))</f>
        <v>0</v>
      </c>
      <c r="F80" s="38">
        <f>$B$30/360*$B$15*(SUM($C$72:F72)+SUM($C$66:F66)-SUM($C$79:F79))</f>
        <v>0</v>
      </c>
      <c r="G80" s="38">
        <f>$B$30/360*$B$15*(SUM($C$72:G72)+SUM($C$66:G66)-SUM($C$79:G79))</f>
        <v>0</v>
      </c>
      <c r="H80" s="19"/>
      <c r="I80" s="76">
        <f t="shared" si="1"/>
        <v>0</v>
      </c>
      <c r="P80" s="38">
        <f>$B$30/360*$B$15*(SUM($C$72:P72)+SUM($C$66:P66)-SUM($C$79:P79))</f>
        <v>0</v>
      </c>
    </row>
    <row r="81" spans="1:16" ht="44.25" customHeight="1">
      <c r="A81" s="127" t="s">
        <v>41</v>
      </c>
      <c r="B81" s="128"/>
      <c r="C81" s="69">
        <f>$B$22/360*$B$15*((SUM($C$70:C70)-SUM($C$76:C76))+(SUM($C$70:C70))*0.5)</f>
        <v>0</v>
      </c>
      <c r="D81" s="69">
        <f>$B$22/360*$B$15*((SUM($C$70:D70)-SUM($C$76:D76))+(SUM($C$70:D70)-SUM($C$76:C76))*0.5)</f>
        <v>0</v>
      </c>
      <c r="E81" s="69">
        <f>$B$22/360*$B$15*((SUM($C$70:E70)-SUM($C$76:E76))+(SUM($C$70:E70)-SUM($C$76:D76))*0.5)</f>
        <v>0</v>
      </c>
      <c r="F81" s="69">
        <f>$B$22/360*$B$15*((SUM($C$70:F70)-SUM($C$76:F76))+(SUM($C$70:F70)-SUM($C$76:E76))*0.5)</f>
        <v>0</v>
      </c>
      <c r="G81" s="69">
        <f>$B$22/360*$B$15*((SUM($C$70:G70)-SUM($C$76:G76))+(SUM($C$70:G70)-SUM($C$76:F76))*0.5)</f>
        <v>0</v>
      </c>
      <c r="H81" s="19"/>
      <c r="I81" s="76">
        <f t="shared" si="1"/>
        <v>0</v>
      </c>
      <c r="P81" s="69">
        <f>$B$22/360*$B$15*((SUM($C$70:P70)-SUM($C$76:P76))+(SUM($C$70:P70)-SUM($C$76:O76))*0.5)</f>
        <v>0</v>
      </c>
    </row>
    <row r="82" spans="1:16" ht="12.75">
      <c r="A82" s="26" t="s">
        <v>23</v>
      </c>
      <c r="B82" s="94">
        <v>0.24</v>
      </c>
      <c r="C82" s="69">
        <f>$B$51*(C75+C80+C81+C76)</f>
        <v>1261.0169491525423</v>
      </c>
      <c r="D82" s="69">
        <f>$B$51*(D75+D80+D81+D76)</f>
        <v>1261.0169491525423</v>
      </c>
      <c r="E82" s="69">
        <f>$B$51*(E75+E80+E81+E76)</f>
        <v>1261.0169491525423</v>
      </c>
      <c r="F82" s="69">
        <f>$B$51*(F75+F80+F81+F76)</f>
        <v>1261.0169491525423</v>
      </c>
      <c r="G82" s="69">
        <f>$B$51*(G75+G80+G81+G76)</f>
        <v>0</v>
      </c>
      <c r="H82" s="19"/>
      <c r="I82" s="76">
        <f t="shared" si="1"/>
        <v>5044.067796610169</v>
      </c>
      <c r="P82" s="69">
        <f>$B$51*(P75+P80+P81+P76)</f>
        <v>1261.0169491525423</v>
      </c>
    </row>
    <row r="83" spans="1:16" ht="44.25" customHeight="1">
      <c r="A83" s="127" t="s">
        <v>37</v>
      </c>
      <c r="B83" s="128"/>
      <c r="C83" s="69">
        <f>C75*$B$19</f>
        <v>945.7627118644067</v>
      </c>
      <c r="D83" s="69">
        <f>D75*$B$19</f>
        <v>945.7627118644067</v>
      </c>
      <c r="E83" s="69">
        <f>E75*$B$19</f>
        <v>945.7627118644067</v>
      </c>
      <c r="F83" s="69">
        <f>F75*$B$19</f>
        <v>945.7627118644067</v>
      </c>
      <c r="G83" s="69">
        <f>G75*$B$19</f>
        <v>0</v>
      </c>
      <c r="H83" s="19"/>
      <c r="I83" s="76">
        <f t="shared" si="1"/>
        <v>3783.050847457627</v>
      </c>
      <c r="P83" s="69">
        <f>P75*$B$19</f>
        <v>945.7627118644067</v>
      </c>
    </row>
    <row r="84" spans="1:16" ht="30.75" customHeight="1" thickBot="1">
      <c r="A84" s="129" t="s">
        <v>40</v>
      </c>
      <c r="B84" s="130"/>
      <c r="C84" s="88">
        <v>0</v>
      </c>
      <c r="D84" s="88">
        <v>0</v>
      </c>
      <c r="E84" s="88">
        <v>0</v>
      </c>
      <c r="F84" s="88">
        <v>0</v>
      </c>
      <c r="G84" s="88">
        <f>F70/1.18*0.18</f>
        <v>0</v>
      </c>
      <c r="H84" s="79"/>
      <c r="I84" s="83">
        <f t="shared" si="1"/>
        <v>0</v>
      </c>
      <c r="P84" s="88">
        <f>O70/1.18*0.18</f>
        <v>0</v>
      </c>
    </row>
    <row r="85" spans="1:16" ht="13.5" thickBot="1">
      <c r="A85" s="89" t="s">
        <v>26</v>
      </c>
      <c r="B85" s="89"/>
      <c r="C85" s="91">
        <f>C83+C84+C82-C81-C80-C79-C78</f>
        <v>-3993.220338983051</v>
      </c>
      <c r="D85" s="91">
        <f>D83+D84+D82-D81-D80-D79-D78</f>
        <v>-3993.220338983051</v>
      </c>
      <c r="E85" s="91">
        <f>E83+E84+E82-E81-E80-E79-E78</f>
        <v>-3993.220338983051</v>
      </c>
      <c r="F85" s="91">
        <f>F83+F84+F82-F81-F80-F79-F78</f>
        <v>-3993.220338983051</v>
      </c>
      <c r="G85" s="91">
        <f>G83+G84+G82-G81-G80-G79-G78</f>
        <v>0</v>
      </c>
      <c r="H85" s="92"/>
      <c r="I85" s="93">
        <f t="shared" si="1"/>
        <v>-15972.881355932204</v>
      </c>
      <c r="P85" s="91">
        <f>P83+P84+P82-P81-P80-P79-P78</f>
        <v>-3993.220338983051</v>
      </c>
    </row>
    <row r="86" spans="1:2" ht="12.75">
      <c r="A86" s="1" t="s">
        <v>27</v>
      </c>
      <c r="B86" s="94">
        <f>B55</f>
        <v>0.12</v>
      </c>
    </row>
    <row r="87" spans="1:16" ht="13.5" thickBot="1">
      <c r="A87" s="1" t="s">
        <v>28</v>
      </c>
      <c r="C87" s="90">
        <f>1/((1+$B$86/360*$B$15)^(C62-1))</f>
        <v>1</v>
      </c>
      <c r="D87" s="90">
        <f>1/((1+$B$86/360*$B$15)^(D62-1))</f>
        <v>0.8928571428571428</v>
      </c>
      <c r="E87" s="90">
        <f>1/((1+$B$86/360*$B$15)^(E62-1))</f>
        <v>0.7971938775510203</v>
      </c>
      <c r="F87" s="90">
        <f>1/((1+$B$86/360*$B$15)^(F62-1))</f>
        <v>0.7117802478134109</v>
      </c>
      <c r="G87" s="90">
        <f>1/((1+$B$86/360*$B$15)^(G62-1))</f>
        <v>0.6355180784048312</v>
      </c>
      <c r="H87" s="90">
        <f>1/((1+$B$55%)^1)</f>
        <v>0.998801438274071</v>
      </c>
      <c r="P87" s="90">
        <f>1/((1+$B$86/360*$B$15)^(P62-1))</f>
        <v>1</v>
      </c>
    </row>
    <row r="88" spans="1:16" ht="13.5" thickBot="1">
      <c r="A88" s="112" t="s">
        <v>29</v>
      </c>
      <c r="B88" s="113"/>
      <c r="C88" s="114">
        <f>C87*C85</f>
        <v>-3993.220338983051</v>
      </c>
      <c r="D88" s="114">
        <f>D87*D85</f>
        <v>-3565.375302663438</v>
      </c>
      <c r="E88" s="114">
        <f>E87*E85</f>
        <v>-3183.3708059494984</v>
      </c>
      <c r="F88" s="114">
        <f>F87*F85</f>
        <v>-2842.2953624549086</v>
      </c>
      <c r="G88" s="114">
        <f>G87*G85</f>
        <v>0</v>
      </c>
      <c r="H88" s="113"/>
      <c r="I88" s="115">
        <f>SUM(C88:H88)</f>
        <v>-13584.261810050895</v>
      </c>
      <c r="P88" s="114">
        <f>P87*P85</f>
        <v>-3993.220338983051</v>
      </c>
    </row>
    <row r="89" ht="13.5" thickTop="1"/>
    <row r="90" ht="12.75"/>
    <row r="91" ht="12.75"/>
    <row r="92" spans="1:16" ht="12.75">
      <c r="A92" s="17" t="s">
        <v>51</v>
      </c>
      <c r="B92" s="64"/>
      <c r="C92" s="25"/>
      <c r="D92" s="139" t="s">
        <v>46</v>
      </c>
      <c r="E92" s="139"/>
      <c r="F92" s="29"/>
      <c r="G92" s="98"/>
      <c r="H92" s="98"/>
      <c r="I92" s="99"/>
      <c r="P92" s="98"/>
    </row>
    <row r="93" spans="1:16" ht="12.75">
      <c r="A93" s="18" t="s">
        <v>52</v>
      </c>
      <c r="B93" s="65"/>
      <c r="C93" s="66" t="s">
        <v>42</v>
      </c>
      <c r="D93" s="111" t="s">
        <v>43</v>
      </c>
      <c r="E93" s="66" t="s">
        <v>44</v>
      </c>
      <c r="F93" s="66" t="s">
        <v>45</v>
      </c>
      <c r="G93" s="100"/>
      <c r="H93" s="100"/>
      <c r="I93" s="101"/>
      <c r="P93" s="100"/>
    </row>
    <row r="94" spans="1:16" ht="12.75">
      <c r="A94" s="140"/>
      <c r="B94" s="140"/>
      <c r="C94" s="36"/>
      <c r="D94" s="36"/>
      <c r="E94" s="109"/>
      <c r="F94" s="37"/>
      <c r="G94" s="102"/>
      <c r="H94" s="103"/>
      <c r="I94" s="104"/>
      <c r="P94" s="102"/>
    </row>
    <row r="95" spans="1:16" ht="12.75" customHeight="1">
      <c r="A95" s="85" t="s">
        <v>76</v>
      </c>
      <c r="B95" s="85"/>
      <c r="C95" s="69">
        <f>SUM(I47:I48)</f>
        <v>20000</v>
      </c>
      <c r="D95" s="69">
        <f>SUM(I78:I79)</f>
        <v>24800</v>
      </c>
      <c r="E95" s="110">
        <f>MAX(0,D95-C95)</f>
        <v>4800</v>
      </c>
      <c r="F95" s="69">
        <f>MAX(0,C95-D95)</f>
        <v>0</v>
      </c>
      <c r="G95" s="95"/>
      <c r="H95" s="96"/>
      <c r="I95" s="97"/>
      <c r="P95" s="95"/>
    </row>
    <row r="96" spans="1:16" ht="12.75">
      <c r="A96" s="85" t="s">
        <v>77</v>
      </c>
      <c r="B96" s="85"/>
      <c r="C96" s="69">
        <f>I49</f>
        <v>2730.0000000000005</v>
      </c>
      <c r="D96" s="69">
        <f>I80</f>
        <v>0</v>
      </c>
      <c r="E96" s="110">
        <f>MAX(0,D96-C96)</f>
        <v>0</v>
      </c>
      <c r="F96" s="69">
        <f>MAX(0,C96-D96)</f>
        <v>2730.0000000000005</v>
      </c>
      <c r="G96" s="105"/>
      <c r="H96" s="96"/>
      <c r="I96" s="97"/>
      <c r="P96" s="105"/>
    </row>
    <row r="97" spans="1:16" ht="12.75">
      <c r="A97" s="85" t="s">
        <v>78</v>
      </c>
      <c r="B97" s="85"/>
      <c r="C97" s="69">
        <f>I50</f>
        <v>1398.3050847457628</v>
      </c>
      <c r="D97" s="69">
        <f>I81</f>
        <v>0</v>
      </c>
      <c r="E97" s="110">
        <f>MAX(0,D97-C97)</f>
        <v>0</v>
      </c>
      <c r="F97" s="69">
        <f>MAX(0,C97-D97)</f>
        <v>1398.3050847457628</v>
      </c>
      <c r="G97" s="105"/>
      <c r="H97" s="96"/>
      <c r="I97" s="97"/>
      <c r="P97" s="105"/>
    </row>
    <row r="98" spans="1:16" ht="12.75">
      <c r="A98" s="85" t="s">
        <v>47</v>
      </c>
      <c r="B98" s="85"/>
      <c r="C98" s="81">
        <f>I51</f>
        <v>3024.6915254237288</v>
      </c>
      <c r="D98" s="81">
        <f>I82</f>
        <v>5044.067796610169</v>
      </c>
      <c r="E98" s="110">
        <f>MAX(0,-D98+C98)</f>
        <v>0</v>
      </c>
      <c r="F98" s="69">
        <f>MAX(0,-C98+D98)</f>
        <v>2019.3762711864406</v>
      </c>
      <c r="G98" s="95"/>
      <c r="H98" s="96"/>
      <c r="I98" s="97"/>
      <c r="P98" s="95"/>
    </row>
    <row r="99" spans="1:16" ht="12.75">
      <c r="A99" s="85" t="s">
        <v>48</v>
      </c>
      <c r="B99" s="85"/>
      <c r="C99" s="117">
        <f>I52+I53</f>
        <v>3050.8474576271183</v>
      </c>
      <c r="D99" s="117">
        <f>I83+I84</f>
        <v>3783.050847457627</v>
      </c>
      <c r="E99" s="110">
        <f>MAX(0,-D99+C99)</f>
        <v>0</v>
      </c>
      <c r="F99" s="69">
        <f>MAX(0,-C99+D99)</f>
        <v>732.2033898305085</v>
      </c>
      <c r="G99" s="102"/>
      <c r="H99" s="103"/>
      <c r="I99" s="104"/>
      <c r="P99" s="102"/>
    </row>
    <row r="100" spans="1:16" ht="12.75">
      <c r="A100" s="119" t="s">
        <v>53</v>
      </c>
      <c r="B100" s="120" t="str">
        <f>$C$18</f>
        <v>тыс. руб.</v>
      </c>
      <c r="C100" s="123">
        <f>C95+C96+C97-C98-C99</f>
        <v>18052.766101694917</v>
      </c>
      <c r="D100" s="123">
        <f>D95+D96+D97-D98-D99</f>
        <v>15972.881355932204</v>
      </c>
      <c r="E100" s="124">
        <f>SUM(E95:E99)</f>
        <v>4800</v>
      </c>
      <c r="F100" s="125">
        <f>SUM(F95:F99)</f>
        <v>6879.884745762713</v>
      </c>
      <c r="G100" s="95"/>
      <c r="H100" s="96"/>
      <c r="I100" s="97"/>
      <c r="P100" s="95"/>
    </row>
    <row r="101" spans="1:16" ht="12.75">
      <c r="A101" s="85"/>
      <c r="B101" s="85"/>
      <c r="C101" s="81"/>
      <c r="D101" s="81"/>
      <c r="E101" s="110"/>
      <c r="F101" s="69" t="s">
        <v>38</v>
      </c>
      <c r="G101" s="95"/>
      <c r="H101" s="96"/>
      <c r="I101" s="97"/>
      <c r="P101" s="95"/>
    </row>
    <row r="102" spans="1:16" ht="12.75">
      <c r="A102" s="121" t="s">
        <v>49</v>
      </c>
      <c r="B102" s="122" t="str">
        <f>B100</f>
        <v>тыс. руб.</v>
      </c>
      <c r="C102" s="116">
        <f>I57</f>
        <v>-16503.646529054808</v>
      </c>
      <c r="D102" s="116">
        <f>I88</f>
        <v>-13584.261810050895</v>
      </c>
      <c r="E102" s="126">
        <f>MAX(0,-D102+C102)</f>
        <v>0</v>
      </c>
      <c r="F102" s="116">
        <f>MAX(0,-C102+D102)</f>
        <v>2919.3847190039123</v>
      </c>
      <c r="G102" s="105"/>
      <c r="H102" s="96"/>
      <c r="I102" s="97"/>
      <c r="P102" s="105"/>
    </row>
    <row r="103" spans="1:16" ht="12.75">
      <c r="A103" s="132" t="s">
        <v>55</v>
      </c>
      <c r="B103" s="132"/>
      <c r="C103" s="132"/>
      <c r="D103" s="132"/>
      <c r="E103" s="132"/>
      <c r="F103" s="133"/>
      <c r="G103" s="106"/>
      <c r="H103" s="107"/>
      <c r="I103" s="108"/>
      <c r="P103" s="106"/>
    </row>
    <row r="105" ht="12.75"/>
    <row r="106" ht="12.75"/>
    <row r="107" ht="12.75"/>
    <row r="108" ht="12.75"/>
    <row r="109" ht="12.75"/>
    <row r="110" ht="12.75"/>
    <row r="111" ht="12.75"/>
    <row r="112" ht="12.75"/>
    <row r="113" ht="12.75"/>
    <row r="114" ht="12.75"/>
    <row r="115" ht="12.75"/>
    <row r="116" ht="12.75"/>
    <row r="117" ht="12.75"/>
    <row r="118" ht="12.75"/>
    <row r="119" ht="12.75"/>
    <row r="120" ht="12.75"/>
  </sheetData>
  <mergeCells count="8">
    <mergeCell ref="D36:E36"/>
    <mergeCell ref="D92:E92"/>
    <mergeCell ref="A94:B94"/>
    <mergeCell ref="A46:B46"/>
    <mergeCell ref="A77:B77"/>
    <mergeCell ref="D61:E61"/>
    <mergeCell ref="A63:B63"/>
    <mergeCell ref="A38:B38"/>
  </mergeCells>
  <printOptions horizontalCentered="1"/>
  <pageMargins left="0.7874015748031497" right="0.3937007874015748" top="0.7874015748031497" bottom="0.3937007874015748" header="0.5118110236220472" footer="0.5118110236220472"/>
  <pageSetup firstPageNumber="1" useFirstPageNumber="1" horizontalDpi="300" verticalDpi="300" orientation="portrait" paperSize="9" scale="85" r:id="rId4"/>
  <headerFooter alignWithMargins="0">
    <oddFooter>&amp;R&amp;"Arial Cyr,обычный"&amp;P</oddFooter>
  </headerFooter>
  <legacyDrawing r:id="rId3"/>
  <oleObjects>
    <oleObject progId="Word.Document.8" shapeId="66433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Выбор схемы приобретения активов</dc:title>
  <dc:subject>Оценка инвестиционного проекта</dc:subject>
  <dc:creator>А.А. Васина</dc:creator>
  <cp:keywords/>
  <dc:description/>
  <cp:lastModifiedBy>ANNA</cp:lastModifiedBy>
  <cp:lastPrinted>2004-01-06T07:53:08Z</cp:lastPrinted>
  <dcterms:created xsi:type="dcterms:W3CDTF">1998-12-29T11:06:34Z</dcterms:created>
  <dcterms:modified xsi:type="dcterms:W3CDTF">2005-06-12T06:04:50Z</dcterms:modified>
  <cp:category/>
  <cp:version/>
  <cp:contentType/>
  <cp:contentStatus/>
</cp:coreProperties>
</file>